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dmi8k6+7VbYqngCs9csZhn+2KqSsyUqfP807V4OvKzjSYle5JLPD7q52xSTnPe4tyEEdVWfWz4lgiVGg9wMrsA==" workbookSaltValue="fMWSRnqijTkzunPFi5nY5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K19" i="8" s="1"/>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BM19" i="8"/>
  <c r="BK19" i="8"/>
  <c r="EP19" i="8"/>
  <c r="AL13" i="16"/>
  <c r="AJ13" i="16"/>
  <c r="S13" i="16"/>
  <c r="H18" i="16"/>
  <c r="BN18" i="16"/>
  <c r="P13" i="16"/>
  <c r="AM13" i="20"/>
  <c r="AN13" i="20"/>
  <c r="AT17" i="20"/>
  <c r="Z13" i="17"/>
  <c r="M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AA19" i="8" l="1"/>
  <c r="AI19" i="8"/>
  <c r="F17" i="16"/>
  <c r="BL17" i="16" s="1"/>
  <c r="AM19" i="8"/>
  <c r="AC19" i="8"/>
  <c r="D18" i="12"/>
  <c r="C12" i="14"/>
  <c r="K12" i="14" s="1"/>
  <c r="BE12" i="8"/>
  <c r="BG12" i="8"/>
  <c r="K12" i="7" s="1"/>
  <c r="R19" i="8"/>
  <c r="BG10" i="8"/>
  <c r="T19" i="8"/>
  <c r="H9" i="7"/>
  <c r="F17" i="17"/>
  <c r="AQ17" i="17" s="1"/>
  <c r="E12" i="6"/>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BH17" i="16"/>
  <c r="BH11" i="16"/>
  <c r="T9" i="11"/>
  <c r="S10" i="14"/>
  <c r="V10" i="14" s="1"/>
  <c r="S17" i="14"/>
  <c r="V17" i="14" s="1"/>
  <c r="R10" i="14"/>
  <c r="R12" i="14"/>
  <c r="R16" i="14"/>
  <c r="S15" i="14"/>
  <c r="V15" i="14" s="1"/>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15" i="11"/>
  <c r="AA10" i="16"/>
  <c r="X12" i="17"/>
  <c r="S12" i="14"/>
  <c r="V12" i="14" s="1"/>
  <c r="S16" i="14"/>
  <c r="V16" i="14" s="1"/>
  <c r="R17" i="14"/>
  <c r="T11" i="11"/>
  <c r="S11" i="14"/>
  <c r="V11" i="14" s="1"/>
  <c r="X16" i="17"/>
  <c r="X10" i="17"/>
  <c r="X17" i="17"/>
  <c r="T17" i="20"/>
  <c r="X17" i="20"/>
  <c r="U10" i="21"/>
  <c r="V12" i="21"/>
  <c r="AA12" i="21"/>
  <c r="X16" i="20"/>
  <c r="L11" i="2"/>
  <c r="X9" i="16"/>
  <c r="X19" i="16" s="1"/>
  <c r="V15" i="20"/>
  <c r="V18" i="20" s="1"/>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I12" i="12" s="1"/>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J12" i="12" l="1"/>
  <c r="I10" i="12"/>
  <c r="K10" i="12"/>
  <c r="I15" i="7"/>
  <c r="K15" i="12"/>
  <c r="AZ19" i="11"/>
  <c r="BK13" i="11"/>
  <c r="I11" i="12"/>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1"/>
  <c r="AV20" i="20"/>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Q20" i="17"/>
  <c r="F20" i="12"/>
  <c r="AX20" i="16"/>
  <c r="I20" i="21"/>
  <c r="AD20" i="16"/>
  <c r="AF20" i="17"/>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AE20" i="17"/>
  <c r="BE20" i="21"/>
  <c r="AG20" i="11"/>
  <c r="K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<sst xmlns="http://schemas.openxmlformats.org/spreadsheetml/2006/main" count="2094" uniqueCount="913">
  <si>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</si>
  <si>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</si>
  <si>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</si>
  <si>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</si>
  <si>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</si>
  <si>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</si>
  <si>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</si>
  <si>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</si>
  <si>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</si>
  <si>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</si>
  <si>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</si>
  <si>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</si>
  <si>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</si>
  <si>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</si>
  <si>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</si>
  <si>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</si>
  <si>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</si>
  <si>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</si>
  <si>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</si>
  <si>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</si>
  <si>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</si>
  <si>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</si>
  <si>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</si>
  <si>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</si>
  <si>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</si>
  <si>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</si>
  <si>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</si>
  <si>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</si>
  <si>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</si>
  <si>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</si>
  <si>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</si>
  <si>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</si>
  <si>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</si>
  <si>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</si>
  <si>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</si>
  <si>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</si>
  <si>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</si>
  <si>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</si>
  <si>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</si>
  <si>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</si>
  <si>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</si>
  <si>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</si>
  <si>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</si>
  <si>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</si>
  <si>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</si>
  <si>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</si>
  <si>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</si>
  <si>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</si>
  <si>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</si>
  <si>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</si>
  <si>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</si>
  <si>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</si>
  <si>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</si>
  <si>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</si>
  <si>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</si>
  <si>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</si>
  <si>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</si>
  <si>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</si>
  <si>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</si>
  <si>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</si>
  <si>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</si>
  <si>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</si>
  <si>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</si>
  <si>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</si>
  <si>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</si>
  <si>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</si>
  <si>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</si>
  <si>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</si>
  <si>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</si>
  <si>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</si>
  <si>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</si>
  <si>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</si>
  <si>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</si>
  <si>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</si>
  <si>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</si>
  <si>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</si>
  <si>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</si>
  <si>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</si>
  <si>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</si>
  <si>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</si>
  <si>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</si>
  <si>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</si>
  <si>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</si>
  <si>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</si>
  <si>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</si>
  <si>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</si>
  <si>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</si>
  <si>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</si>
  <si>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</si>
  <si>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</si>
  <si>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</si>
  <si>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</si>
  <si>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</si>
  <si>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</si>
  <si>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</si>
  <si>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</si>
  <si>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</si>
  <si>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</si>
  <si>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</si>
  <si>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</si>
  <si>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</si>
  <si>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</si>
  <si>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</si>
  <si>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</si>
  <si>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</si>
  <si>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</si>
  <si>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</si>
  <si>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</si>
  <si>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</si>
  <si>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</si>
  <si>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</si>
  <si>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</si>
  <si>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</si>
  <si>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</si>
  <si>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</si>
  <si>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</si>
  <si>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</si>
  <si>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</si>
  <si>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</si>
  <si>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</si>
  <si>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</si>
  <si>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</si>
  <si>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</si>
  <si>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</si>
  <si>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</si>
  <si>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</si>
  <si>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</si>
  <si>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</si>
  <si>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</si>
  <si>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</si>
  <si>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</si>
  <si>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</si>
  <si>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</si>
  <si>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</si>
  <si>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</si>
  <si>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</si>
  <si>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</si>
  <si>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</si>
  <si>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</si>
  <si>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</si>
  <si>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</si>
  <si>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</si>
  <si>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</si>
  <si>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</si>
  <si>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</si>
  <si>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</si>
  <si>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</si>
  <si>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</si>
  <si>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</si>
  <si>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</si>
  <si>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</si>
  <si>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</si>
  <si>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</si>
  <si>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</si>
  <si>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</si>
  <si>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</si>
  <si>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</si>
  <si>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</si>
  <si>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</si>
  <si>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</si>
  <si>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</si>
  <si>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</si>
  <si>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</si>
  <si>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</si>
  <si>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</si>
  <si>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</si>
  <si>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</si>
  <si>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</si>
  <si>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</si>
  <si>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</si>
  <si>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</si>
  <si>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</si>
  <si>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</si>
  <si>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</si>
  <si>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</si>
  <si>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</si>
  <si>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</si>
  <si>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</si>
  <si>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</si>
  <si>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</si>
  <si>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</si>
  <si>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</si>
  <si>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</si>
  <si>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</si>
  <si>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</si>
  <si>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</si>
  <si>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</si>
  <si>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</si>
  <si>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</si>
  <si>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</si>
  <si>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</si>
  <si>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</si>
  <si>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</si>
  <si>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</si>
  <si>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</si>
  <si>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</si>
  <si>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</si>
  <si>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</si>
  <si>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</si>
  <si>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</si>
  <si>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</si>
  <si>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</si>
  <si>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</si>
  <si>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</si>
  <si>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</si>
  <si>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</si>
  <si>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</si>
  <si>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</si>
  <si>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</si>
  <si>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</si>
  <si>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</si>
  <si>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</si>
  <si>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</si>
  <si>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</si>
  <si>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</si>
  <si>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</si>
  <si>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</si>
  <si>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</si>
  <si>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</si>
  <si>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</si>
  <si>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</si>
  <si>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</si>
  <si>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</si>
  <si>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</si>
  <si>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</si>
  <si>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</si>
  <si>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</si>
  <si>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</si>
  <si>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</si>
  <si>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</si>
  <si>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</si>
  <si>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</si>
  <si>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</si>
  <si>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</si>
  <si>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</si>
  <si>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</si>
  <si>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</si>
  <si>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</si>
  <si>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</si>
  <si>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</si>
  <si>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</si>
  <si>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</si>
  <si>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</si>
  <si>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</si>
  <si>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</si>
  <si>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</si>
  <si>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</si>
  <si>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</si>
  <si>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</si>
  <si>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</si>
  <si>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</si>
  <si>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</si>
  <si>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</si>
  <si>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</si>
  <si>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</si>
  <si>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</si>
  <si>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</si>
  <si>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</si>
  <si>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</si>
  <si>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</si>
  <si>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</si>
  <si>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</si>
  <si>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</si>
  <si>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</si>
  <si>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</si>
  <si>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</si>
  <si>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</si>
  <si>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</si>
  <si>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</si>
  <si>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</si>
  <si>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</si>
  <si>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</si>
  <si>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</si>
  <si>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</si>
  <si>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</si>
  <si>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</si>
  <si>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</si>
  <si>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</si>
  <si>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</si>
  <si>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</si>
  <si>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</si>
  <si>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</si>
  <si>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</si>
  <si>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</si>
  <si>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</si>
  <si>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</si>
  <si>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</si>
  <si>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</si>
  <si>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</si>
  <si>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</si>
  <si>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</si>
  <si>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</si>
  <si>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</si>
  <si>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</si>
  <si>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</si>
  <si>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</si>
  <si>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</si>
  <si>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</si>
  <si>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</si>
  <si>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</si>
  <si>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</si>
  <si>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</si>
  <si>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</si>
  <si>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</si>
  <si>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</si>
  <si>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</si>
  <si>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</si>
  <si>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</si>
  <si>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</si>
  <si>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</si>
  <si>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</si>
  <si>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</si>
  <si>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</si>
  <si>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</si>
  <si>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</si>
  <si>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</si>
  <si>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</si>
  <si>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</si>
  <si>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</si>
  <si>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</si>
  <si>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</si>
  <si>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</si>
  <si>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</si>
  <si>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</si>
  <si>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</si>
  <si>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</si>
  <si>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</si>
  <si>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</si>
  <si>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</si>
  <si>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</si>
  <si>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</si>
  <si>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</si>
  <si>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</si>
  <si>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</si>
  <si>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</si>
  <si>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</si>
  <si>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</si>
  <si>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</si>
  <si>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</si>
  <si>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</si>
  <si>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</si>
  <si>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</si>
  <si>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</si>
  <si>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</si>
  <si>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</si>
  <si>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</si>
  <si>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</si>
  <si>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</si>
  <si>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</si>
  <si>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</si>
  <si>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</si>
  <si>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</si>
  <si>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</si>
  <si>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</si>
  <si>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</si>
  <si>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</si>
  <si>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</si>
  <si>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</si>
  <si>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</si>
  <si>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</si>
  <si>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</si>
  <si>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</si>
  <si>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</si>
  <si>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</si>
  <si>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</si>
  <si>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</si>
  <si>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</si>
  <si>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</si>
  <si>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</si>
  <si>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</si>
  <si>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</si>
  <si>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</si>
  <si>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</si>
  <si>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</si>
  <si>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</si>
  <si>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</si>
  <si>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</si>
  <si>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</si>
  <si>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</si>
  <si>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</si>
  <si>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</si>
  <si>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</si>
  <si>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</si>
  <si>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</si>
  <si>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</si>
  <si>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</si>
  <si>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</si>
  <si>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</si>
  <si>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</si>
  <si>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</si>
  <si>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</si>
  <si>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</si>
  <si>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</si>
  <si>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</si>
  <si>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</si>
  <si>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</si>
  <si>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</si>
  <si>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</si>
  <si>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</si>
  <si>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</si>
  <si>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</si>
  <si>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</si>
  <si>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</si>
  <si>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</si>
  <si>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</si>
  <si>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</si>
  <si>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</si>
  <si>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</si>
  <si>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</si>
  <si>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</si>
  <si>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</si>
  <si>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</si>
  <si>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</si>
  <si>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</si>
  <si>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</si>
  <si>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</si>
  <si>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</si>
  <si>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</si>
  <si>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</si>
  <si>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</si>
  <si>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</si>
  <si>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</si>
  <si>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</si>
  <si>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</si>
  <si>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</si>
  <si>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</si>
  <si>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</si>
  <si>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</si>
  <si>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</si>
  <si>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</si>
  <si>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</si>
  <si>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</si>
  <si>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</si>
  <si>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</si>
  <si>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</si>
  <si>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</si>
  <si>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</si>
  <si>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</si>
  <si>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</si>
  <si>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</si>
  <si>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</si>
  <si>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</si>
  <si>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</si>
  <si>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</si>
  <si>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</si>
  <si>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</si>
  <si>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</si>
  <si>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</si>
  <si>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</si>
  <si>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</si>
  <si>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</si>
  <si>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</si>
  <si>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</si>
  <si>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</si>
  <si>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</si>
  <si>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</si>
  <si>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</si>
  <si>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</si>
  <si>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</si>
  <si>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</si>
  <si>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</si>
  <si>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</si>
  <si>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</si>
  <si>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</si>
  <si>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</si>
  <si>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</si>
  <si>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</si>
  <si>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</si>
  <si>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</si>
  <si>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</si>
  <si>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</si>
  <si>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</si>
  <si>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</si>
  <si>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</si>
  <si>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</si>
  <si>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</si>
  <si>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</si>
  <si>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</si>
  <si>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</si>
  <si>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</si>
  <si>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</si>
  <si>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</si>
  <si>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</si>
  <si>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</si>
  <si>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</si>
  <si>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</si>
  <si>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</si>
  <si>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</si>
  <si>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</si>
  <si>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</si>
  <si>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</si>
  <si>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</si>
  <si>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</si>
  <si>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</si>
  <si>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</si>
  <si>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</si>
  <si>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</si>
  <si>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</si>
  <si>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</si>
  <si>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</si>
  <si>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</si>
  <si>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</si>
  <si>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</si>
  <si>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</si>
  <si>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</si>
  <si>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</si>
  <si>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</si>
  <si>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</si>
  <si>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</si>
  <si>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</si>
  <si>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</si>
  <si>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</si>
  <si>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</si>
  <si>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</si>
  <si>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</si>
  <si>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</si>
  <si>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</si>
  <si>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</si>
  <si>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</si>
  <si>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</si>
  <si>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</si>
  <si>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</si>
  <si>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</si>
  <si>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</si>
  <si>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</si>
  <si>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</si>
  <si>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</si>
  <si>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</si>
  <si>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</si>
  <si>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</si>
  <si>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</si>
  <si>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</si>
  <si>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</si>
  <si>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</si>
  <si>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</si>
  <si>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</si>
  <si>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</si>
  <si>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</si>
  <si>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</si>
  <si>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</si>
  <si>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</si>
  <si>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</si>
  <si>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</si>
  <si>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</si>
  <si>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</si>
  <si>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</si>
  <si>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</si>
  <si>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</si>
  <si>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</si>
  <si>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</si>
  <si>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</si>
  <si>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</si>
  <si>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</si>
  <si>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</si>
  <si>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</si>
  <si>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</si>
  <si>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</si>
  <si>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</si>
  <si>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</si>
  <si>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</si>
  <si>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</si>
  <si>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</si>
  <si>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</si>
  <si>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</si>
  <si>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</si>
  <si>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</si>
  <si>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</si>
  <si>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</si>
  <si>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</si>
  <si>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</si>
  <si>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</si>
  <si>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</si>
  <si>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</si>
  <si>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</si>
  <si>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</si>
  <si>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</si>
  <si>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</si>
  <si>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</si>
  <si>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</si>
  <si>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</si>
  <si>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</si>
  <si>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</si>
  <si>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</si>
  <si>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</si>
  <si>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</si>
  <si>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</si>
  <si>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</si>
  <si>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</si>
  <si>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</si>
  <si>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</si>
  <si>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</si>
  <si>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</si>
  <si>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</si>
  <si>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</si>
  <si>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</si>
  <si>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</si>
  <si>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</si>
  <si>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</si>
  <si>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</si>
  <si>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</si>
  <si>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</si>
  <si>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</si>
  <si>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</si>
  <si>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</si>
  <si>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</si>
  <si>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</si>
  <si>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</si>
  <si>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</si>
  <si>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</si>
  <si>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</si>
  <si>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</si>
  <si>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</si>
  <si>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</si>
  <si>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</si>
  <si>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</si>
  <si>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</si>
  <si>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</si>
  <si>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</si>
  <si>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</si>
  <si>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</si>
  <si>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</si>
  <si>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</si>
  <si>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</si>
  <si>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</si>
  <si>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</si>
  <si>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</si>
  <si>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</si>
  <si>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</si>
  <si>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</si>
  <si>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</si>
  <si>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</si>
  <si>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</si>
  <si>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</si>
  <si>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</si>
  <si>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</si>
  <si>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</si>
  <si>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</si>
  <si>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</si>
  <si>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</si>
  <si>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</si>
  <si>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</si>
  <si>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</si>
  <si>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</si>
  <si>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</si>
  <si>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</si>
  <si>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</si>
  <si>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</si>
  <si>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</si>
  <si>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</si>
  <si>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</si>
  <si>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</si>
  <si>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</si>
  <si>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</si>
  <si>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</si>
  <si>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</si>
  <si>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</si>
  <si>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</si>
  <si>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</si>
  <si>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</si>
  <si>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</si>
  <si>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</si>
  <si>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</si>
  <si>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</si>
  <si>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</si>
  <si>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</si>
  <si>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</si>
  <si>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</si>
  <si>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</si>
  <si>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</si>
  <si>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</si>
  <si>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</si>
  <si>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</si>
  <si>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</si>
  <si>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</si>
  <si>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</si>
  <si>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</si>
  <si>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</si>
  <si>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</si>
  <si>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</si>
  <si>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</si>
  <si>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</si>
  <si>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</si>
  <si>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</si>
  <si>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</si>
  <si>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</si>
  <si>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</si>
  <si>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</si>
  <si>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</si>
  <si>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</si>
  <si>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</si>
  <si>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</si>
  <si>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</si>
  <si>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</si>
  <si>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</si>
  <si>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</si>
  <si>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</si>
  <si>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</si>
  <si>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</si>
  <si>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</si>
  <si>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</si>
  <si>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</si>
  <si>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</si>
  <si>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</si>
  <si>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</si>
  <si>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</si>
  <si>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</si>
  <si>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</si>
  <si>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</si>
  <si>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</si>
  <si>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</si>
  <si>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</si>
  <si>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</si>
  <si>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</si>
  <si>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</si>
  <si>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</si>
  <si>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</si>
  <si>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</si>
  <si>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</si>
  <si>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</si>
  <si>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</si>
  <si>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</si>
  <si>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</si>
  <si>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</si>
  <si>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</si>
  <si>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</si>
  <si>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</si>
  <si>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</si>
  <si>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</si>
  <si>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</si>
  <si>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</si>
  <si>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</si>
  <si>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</si>
  <si>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</si>
  <si>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</si>
  <si>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</si>
  <si>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</si>
  <si>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</si>
  <si>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</si>
  <si>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</si>
  <si>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</si>
  <si>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</si>
  <si>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</si>
  <si>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</si>
  <si>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</si>
  <si>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</si>
  <si>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</si>
  <si>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</si>
  <si>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</si>
  <si>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</si>
  <si>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</si>
  <si>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</si>
  <si>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</si>
  <si>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</si>
  <si>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</si>
  <si>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</si>
  <si>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</si>
  <si>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</si>
  <si>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</si>
  <si>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</si>
  <si>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</si>
  <si>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</si>
  <si>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</si>
  <si>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</si>
  <si>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</si>
  <si>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</si>
  <si>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</si>
  <si>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</si>
  <si>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</si>
  <si>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</si>
  <si>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</si>
  <si>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</si>
  <si>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</si>
  <si>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</si>
  <si>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</si>
  <si>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</si>
  <si>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</si>
  <si>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</si>
  <si>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</si>
  <si>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</si>
  <si>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</si>
  <si>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</si>
  <si>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</si>
  <si>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</si>
  <si>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</si>
  <si>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</si>
  <si>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</si>
  <si>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</si>
  <si>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</si>
  <si>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</si>
  <si>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</si>
  <si>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</si>
  <si>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</si>
  <si>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</si>
  <si>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</si>
  <si>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</si>
  <si>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</si>
  <si>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</si>
  <si>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</si>
  <si>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</si>
  <si>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</si>
  <si>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</si>
  <si>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</si>
  <si>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</si>
  <si>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</si>
  <si>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</si>
  <si>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</si>
  <si>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</si>
  <si>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</si>
  <si>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</si>
  <si>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</si>
  <si>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</si>
  <si>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</si>
  <si>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</si>
  <si>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</si>
  <si>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</si>
  <si>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</si>
  <si>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</si>
  <si>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</si>
  <si>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</si>
  <si>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</si>
  <si>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</si>
  <si>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</si>
  <si>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</si>
  <si>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</si>
  <si>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</si>
  <si>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</si>
  <si>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</si>
  <si>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</si>
  <si>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</si>
  <si>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</si>
  <si>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</si>
  <si>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</si>
  <si>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</si>
  <si>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</si>
  <si>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</si>
  <si>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</si>
  <si>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</si>
  <si>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</si>
  <si>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</si>
  <si>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</si>
  <si>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</si>
  <si>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</si>
  <si>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</si>
  <si>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</si>
  <si>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</si>
  <si>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</si>
  <si>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</si>
  <si>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</si>
  <si>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</si>
  <si>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</si>
  <si>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</si>
  <si>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</si>
  <si>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</si>
  <si>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</si>
  <si>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</si>
  <si>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</si>
  <si>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</si>
  <si>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</si>
  <si>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</si>
  <si>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</si>
  <si>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</si>
  <si>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</si>
  <si>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</si>
  <si>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</si>
  <si>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</si>
  <si>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</si>
  <si>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</si>
  <si>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</si>
  <si>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</si>
  <si>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</si>
  <si>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</si>
  <si>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</si>
  <si>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</si>
  <si>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</si>
  <si>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</si>
  <si>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</si>
  <si>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</si>
  <si>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</si>
  <si>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</si>
  <si>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</si>
  <si>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</si>
  <si>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</si>
  <si>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</si>
  <si>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</si>
  <si>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</si>
  <si>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</si>
  <si>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</si>
  <si>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</si>
  <si>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</si>
  <si>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</si>
  <si>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</si>
  <si>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</si>
  <si>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</si>
  <si>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</si>
  <si>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</si>
  <si>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</si>
  <si>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</si>
  <si>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</si>
  <si>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</si>
  <si>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</si>
  <si>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</si>
  <si>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</si>
  <si>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</si>
  <si>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</si>
  <si>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</si>
  <si>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</si>
  <si>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</si>
  <si>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</si>
  <si>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</si>
  <si>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</si>
  <si>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CACERES</t>
  </si>
  <si>
    <t>Resumenes por Partidos Judiciales</t>
  </si>
  <si>
    <t>PLASENCIA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</si>
</sst>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jaFh7CWKFodzOv8IYSwBcn3lqqGDFVYvdibovGg7Wxq9TRL8N0HkJxmQ77/+lDuPnpzecOddzo5Vb3g+0qvyBw==" saltValue="cfRMNOBZKuGKM81AhluF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0</v>
      </c>
      <c r="F10" s="229">
        <f>IF(ISNUMBER(Datos!K10),Datos!K10," - ")</f>
        <v>0</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20.779742765273312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1027</v>
      </c>
      <c r="D16" s="228">
        <f>IF(ISNUMBER(IF(D_I="SI",Datos!I16,Datos!I16+Datos!AC16)),IF(D_I="SI",Datos!I16,Datos!I16+Datos!AC16)," - ")</f>
        <v>1091</v>
      </c>
      <c r="E16" s="229">
        <f>IF(ISNUMBER(IF(D_I="SI",Datos!J16,Datos!J16+Datos!AD16)),IF(D_I="SI",Datos!J16,Datos!J16+Datos!AD16)," - ")</f>
        <v>1269</v>
      </c>
      <c r="F16" s="229">
        <f>IF(ISNUMBER(IF(D_I="SI",Datos!K16,Datos!K16+Datos!AE16)),IF(D_I="SI",Datos!K16,Datos!K16+Datos!AE16)," - ")</f>
        <v>1186</v>
      </c>
      <c r="G16" s="1037" t="str">
        <f>IF(Datos!E16&lt;&gt;"",Datos!E16,Datos!D16)</f>
        <v>04</v>
      </c>
      <c r="H16" s="230">
        <f>IF(ISNUMBER(IF(D_I="SI",Datos!L16,Datos!L16+Datos!AF16)),IF(D_I="SI",Datos!L16,Datos!L16+Datos!AF16)," - ")</f>
        <v>1110</v>
      </c>
      <c r="I16" s="1047" t="str">
        <f>IF(ISNUMBER(Datos!AS16/Datos!BM16),Datos!AS16/Datos!BM16," - ")</f>
        <v xml:space="preserve"> - </v>
      </c>
      <c r="J16" s="1048">
        <f>IF(ISNUMBER(Datos!BY16/Datos!CN16),Datos!BY16/Datos!CN16," - ")</f>
        <v>0</v>
      </c>
      <c r="K16" s="233">
        <f t="shared" si="3"/>
        <v>8.0817916260954234E-2</v>
      </c>
      <c r="L16" s="1028">
        <f>IF(ISNUMBER(NºAsuntos!I16/NºAsuntos!G16),(NºAsuntos!I16/NºAsuntos!G16)*11," - ")</f>
        <v>10.295109612141653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0</v>
      </c>
      <c r="F17" s="229">
        <f>IF(ISNUMBER(IF(D_I="SI",Datos!K17,Datos!K17+Datos!AE17)),IF(D_I="SI",Datos!K17,Datos!K17+Datos!AE17)," - ")</f>
        <v>3</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1048</v>
      </c>
      <c r="D18" s="1052">
        <f>SUBTOTAL(9,D15:D17)</f>
        <v>1112</v>
      </c>
      <c r="E18" s="1053">
        <f>SUBTOTAL(9,E15:E17)</f>
        <v>1269</v>
      </c>
      <c r="F18" s="1053">
        <f>SUBTOTAL(9,F15:F17)</f>
        <v>1189</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1051</v>
      </c>
      <c r="D19" s="1074">
        <f>SUBTOTAL(9,D9:D18)</f>
        <v>1115</v>
      </c>
      <c r="E19" s="1075">
        <f>SUBTOTAL(9,E9:E18)</f>
        <v>1269</v>
      </c>
      <c r="F19" s="1075">
        <f>SUBTOTAL(9,F9:F18)</f>
        <v>1189</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ocUWubNuuL6ICh9grhT+8QAh4Jh1l6KSNt70yqi9HmyFaeJ5xDXE1ZXowvZAi5yCVHNJaNe7bCt70HAKBsuDg==" saltValue="jdc/4YOsfso4Dk6ugnjL5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3oKdVeZErCGj21pt3L1W85N+qJfNlpzKlvzgkTTglD46CFm2KOqVBkdDX3g9F+MLu+DK7ZRzdTCcXiKjkxiXzg==" saltValue="Y2KuxLl4zpXEr17w6roA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0</v>
      </c>
      <c r="K10" s="184">
        <v>0</v>
      </c>
      <c r="L10" s="184">
        <v>3</v>
      </c>
      <c r="M10" s="184">
        <v>0</v>
      </c>
      <c r="N10" s="184">
        <v>0</v>
      </c>
      <c r="O10" s="184">
        <v>0</v>
      </c>
      <c r="P10" s="184">
        <v>0</v>
      </c>
      <c r="Q10" s="184">
        <v>0</v>
      </c>
      <c r="R10" s="184">
        <v>6</v>
      </c>
      <c r="S10" s="184">
        <v>20</v>
      </c>
      <c r="T10" s="184">
        <v>25</v>
      </c>
      <c r="U10" s="184">
        <v>14</v>
      </c>
      <c r="V10" s="184">
        <v>31</v>
      </c>
      <c r="W10" s="184">
        <v>7</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20</v>
      </c>
      <c r="AZ10" s="129">
        <f t="shared" si="0"/>
        <v>25</v>
      </c>
      <c r="BA10" s="129">
        <f t="shared" si="0"/>
        <v>14</v>
      </c>
      <c r="BB10" s="129">
        <f t="shared" si="0"/>
        <v>31</v>
      </c>
      <c r="BC10" s="125">
        <f t="shared" si="0"/>
        <v>7</v>
      </c>
      <c r="BD10" s="126">
        <f>IF(ISNUMBER(BA10/AZ10),BA10/AZ10," - ")</f>
        <v>0.56000000000000005</v>
      </c>
      <c r="BE10" s="127">
        <f>IF(ISNUMBER(BB10/BA10),BB10/BA10, " - ")</f>
        <v>2.2142857142857144</v>
      </c>
      <c r="BF10" s="127">
        <f>IF(ISNUMBER(BC10/BA10),BC10/BA10, " - ")</f>
        <v>0.5</v>
      </c>
      <c r="BG10" s="199">
        <f>IF(ISNUMBER((AY10+AZ10)/BA10),(AY10+AZ10)/BA10," - ")</f>
        <v>3.2142857142857144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2216</v>
      </c>
      <c r="J12" s="186">
        <v>1120</v>
      </c>
      <c r="K12" s="186">
        <v>1081</v>
      </c>
      <c r="L12" s="186">
        <v>2228</v>
      </c>
      <c r="M12" s="186">
        <v>345</v>
      </c>
      <c r="N12" s="186">
        <v>526</v>
      </c>
      <c r="O12" s="184">
        <v>537</v>
      </c>
      <c r="P12" s="186">
        <v>232</v>
      </c>
      <c r="Q12" s="186">
        <v>420</v>
      </c>
      <c r="R12" s="186">
        <v>3586</v>
      </c>
      <c r="S12" s="186">
        <v>1166</v>
      </c>
      <c r="T12" s="186">
        <v>936</v>
      </c>
      <c r="U12" s="186">
        <v>856</v>
      </c>
      <c r="V12" s="186">
        <v>1246</v>
      </c>
      <c r="W12" s="186">
        <v>245</v>
      </c>
      <c r="X12" s="192">
        <v>485</v>
      </c>
      <c r="Y12" s="194">
        <v>150</v>
      </c>
      <c r="Z12" s="184">
        <v>140</v>
      </c>
      <c r="AA12" s="184">
        <v>163</v>
      </c>
      <c r="AB12" s="184">
        <v>122</v>
      </c>
      <c r="AC12" s="186">
        <v>0</v>
      </c>
      <c r="AD12" s="186">
        <v>0</v>
      </c>
      <c r="AE12" s="186">
        <v>0</v>
      </c>
      <c r="AF12" s="192">
        <v>0</v>
      </c>
      <c r="AG12" s="205">
        <v>71</v>
      </c>
      <c r="AH12" s="186">
        <v>132</v>
      </c>
      <c r="AI12" s="186">
        <v>114</v>
      </c>
      <c r="AJ12" s="206">
        <v>89</v>
      </c>
      <c r="AK12" s="185">
        <v>0</v>
      </c>
      <c r="AL12" s="186">
        <v>0</v>
      </c>
      <c r="AM12" s="186">
        <v>0</v>
      </c>
      <c r="AN12" s="192">
        <v>0</v>
      </c>
      <c r="AO12" s="262">
        <v>5</v>
      </c>
      <c r="AP12" s="158">
        <v>5</v>
      </c>
      <c r="AQ12" s="158">
        <v>5</v>
      </c>
      <c r="AR12" s="157">
        <v>5</v>
      </c>
      <c r="AS12" s="343" t="s">
        <v>807</v>
      </c>
      <c r="AT12" s="206"/>
      <c r="AU12" s="205"/>
      <c r="AV12" s="206"/>
      <c r="AW12" s="205"/>
      <c r="AX12" s="206"/>
      <c r="AY12" s="126">
        <f t="shared" si="1"/>
        <v>1237</v>
      </c>
      <c r="AZ12" s="127">
        <f t="shared" si="1"/>
        <v>1068</v>
      </c>
      <c r="BA12" s="127">
        <f t="shared" si="1"/>
        <v>970</v>
      </c>
      <c r="BB12" s="127">
        <f t="shared" si="1"/>
        <v>1335</v>
      </c>
      <c r="BC12" s="125">
        <f>IF(ISNUMBER(X12),X12," - ")</f>
        <v>485</v>
      </c>
      <c r="BD12" s="126">
        <f t="shared" si="2"/>
        <v>0.90823970037453183</v>
      </c>
      <c r="BE12" s="127">
        <f t="shared" si="3"/>
        <v>1.3762886597938144</v>
      </c>
      <c r="BF12" s="127">
        <f t="shared" si="4"/>
        <v>0.5</v>
      </c>
      <c r="BG12" s="199">
        <f t="shared" si="5"/>
        <v>2.3762886597938144</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2219</v>
      </c>
      <c r="J13" s="187">
        <f t="shared" si="6"/>
        <v>1120</v>
      </c>
      <c r="K13" s="187">
        <f t="shared" si="6"/>
        <v>1081</v>
      </c>
      <c r="L13" s="187">
        <f t="shared" si="6"/>
        <v>2231</v>
      </c>
      <c r="M13" s="187">
        <f t="shared" si="6"/>
        <v>345</v>
      </c>
      <c r="N13" s="187">
        <f t="shared" si="6"/>
        <v>526</v>
      </c>
      <c r="O13" s="187">
        <f t="shared" si="6"/>
        <v>537</v>
      </c>
      <c r="P13" s="187">
        <f t="shared" si="6"/>
        <v>232</v>
      </c>
      <c r="Q13" s="187">
        <f t="shared" si="6"/>
        <v>420</v>
      </c>
      <c r="R13" s="187">
        <f t="shared" si="6"/>
        <v>3592</v>
      </c>
      <c r="S13" s="187">
        <f t="shared" si="6"/>
        <v>1186</v>
      </c>
      <c r="T13" s="187">
        <f t="shared" si="6"/>
        <v>961</v>
      </c>
      <c r="U13" s="187">
        <f t="shared" si="6"/>
        <v>870</v>
      </c>
      <c r="V13" s="187">
        <f t="shared" si="6"/>
        <v>1277</v>
      </c>
      <c r="W13" s="187">
        <f t="shared" si="6"/>
        <v>252</v>
      </c>
      <c r="X13" s="187">
        <f t="shared" si="6"/>
        <v>488</v>
      </c>
      <c r="Y13" s="187">
        <f t="shared" si="6"/>
        <v>150</v>
      </c>
      <c r="Z13" s="187">
        <f t="shared" si="6"/>
        <v>140</v>
      </c>
      <c r="AA13" s="187">
        <f t="shared" si="6"/>
        <v>163</v>
      </c>
      <c r="AB13" s="187">
        <f t="shared" si="6"/>
        <v>122</v>
      </c>
      <c r="AC13" s="187">
        <f t="shared" si="6"/>
        <v>0</v>
      </c>
      <c r="AD13" s="187">
        <f t="shared" si="6"/>
        <v>0</v>
      </c>
      <c r="AE13" s="187">
        <f t="shared" si="6"/>
        <v>0</v>
      </c>
      <c r="AF13" s="187">
        <f>SUBTOTAL(9,AF9:AF12)</f>
        <v>0</v>
      </c>
      <c r="AG13" s="187">
        <f t="shared" ref="AG13:AT13" si="7">SUBTOTAL(9,AG8:AG12)</f>
        <v>71</v>
      </c>
      <c r="AH13" s="187">
        <f t="shared" si="7"/>
        <v>132</v>
      </c>
      <c r="AI13" s="187">
        <f t="shared" si="7"/>
        <v>114</v>
      </c>
      <c r="AJ13" s="187">
        <f t="shared" si="7"/>
        <v>89</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1257</v>
      </c>
      <c r="AZ13" s="187">
        <f>SUBTOTAL(9,AZ8:AZ12)</f>
        <v>1093</v>
      </c>
      <c r="BA13" s="187">
        <f>SUBTOTAL(9,BA8:BA12)</f>
        <v>984</v>
      </c>
      <c r="BB13" s="187">
        <f>SUBTOTAL(9,BB8:BB12)</f>
        <v>1366</v>
      </c>
      <c r="BC13" s="187">
        <f>SUBTOTAL(9,BC8:BC12)</f>
        <v>492</v>
      </c>
      <c r="BD13" s="208">
        <f>IF(ISNUMBER(BA13/AZ13),BA13/AZ13," - ")</f>
        <v>0.90027447392497717</v>
      </c>
      <c r="BE13" s="209">
        <f>IF(ISNUMBER(BB13/BA13),BB13/BA13, " - ")</f>
        <v>1.3882113821138211</v>
      </c>
      <c r="BF13" s="209">
        <f>IF(ISNUMBER(BC13/BA13),BC13/BA13, " - ")</f>
        <v>0.5</v>
      </c>
      <c r="BG13" s="210">
        <f>IF(ISNUMBER((AY13+AZ13)/BA13),(AY13+AZ13)/BA13," - ")</f>
        <v>2.3882113821138211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1091</v>
      </c>
      <c r="J16" s="186">
        <v>1269</v>
      </c>
      <c r="K16" s="186">
        <v>1186</v>
      </c>
      <c r="L16" s="186">
        <v>1110</v>
      </c>
      <c r="M16" s="186">
        <v>146</v>
      </c>
      <c r="N16" s="186">
        <v>707</v>
      </c>
      <c r="O16" s="184">
        <v>16</v>
      </c>
      <c r="P16" s="186">
        <v>38</v>
      </c>
      <c r="Q16" s="186">
        <v>42</v>
      </c>
      <c r="R16" s="186">
        <v>119</v>
      </c>
      <c r="S16" s="186">
        <v>690</v>
      </c>
      <c r="T16" s="186">
        <v>1026</v>
      </c>
      <c r="U16" s="186">
        <v>987</v>
      </c>
      <c r="V16" s="186">
        <v>735</v>
      </c>
      <c r="W16" s="186">
        <v>150</v>
      </c>
      <c r="X16" s="192">
        <v>519</v>
      </c>
      <c r="Y16" s="205">
        <v>0</v>
      </c>
      <c r="Z16" s="186">
        <v>0</v>
      </c>
      <c r="AA16" s="186">
        <v>0</v>
      </c>
      <c r="AB16" s="186">
        <v>0</v>
      </c>
      <c r="AC16" s="186">
        <v>0</v>
      </c>
      <c r="AD16" s="186">
        <v>8</v>
      </c>
      <c r="AE16" s="186">
        <v>6</v>
      </c>
      <c r="AF16" s="192">
        <v>2</v>
      </c>
      <c r="AG16" s="205">
        <v>0</v>
      </c>
      <c r="AH16" s="186">
        <v>0</v>
      </c>
      <c r="AI16" s="186">
        <v>0</v>
      </c>
      <c r="AJ16" s="206">
        <v>0</v>
      </c>
      <c r="AK16" s="185">
        <v>0</v>
      </c>
      <c r="AL16" s="186">
        <v>1</v>
      </c>
      <c r="AM16" s="186">
        <v>1</v>
      </c>
      <c r="AN16" s="192">
        <v>0</v>
      </c>
      <c r="AO16" s="262">
        <v>5</v>
      </c>
      <c r="AP16" s="158">
        <v>5</v>
      </c>
      <c r="AQ16" s="158">
        <v>5</v>
      </c>
      <c r="AR16" s="158">
        <v>5</v>
      </c>
      <c r="AS16" s="343" t="s">
        <v>491</v>
      </c>
      <c r="AT16" s="206"/>
      <c r="AU16" s="205"/>
      <c r="AV16" s="206"/>
      <c r="AW16" s="205"/>
      <c r="AX16" s="206"/>
      <c r="AY16" s="126">
        <f t="shared" si="9"/>
        <v>690</v>
      </c>
      <c r="AZ16" s="127">
        <f t="shared" si="9"/>
        <v>1026</v>
      </c>
      <c r="BA16" s="127">
        <f t="shared" si="9"/>
        <v>987</v>
      </c>
      <c r="BB16" s="127">
        <f t="shared" si="9"/>
        <v>735</v>
      </c>
      <c r="BC16" s="125">
        <f>IF(ISNUMBER(W16),W16," - ")</f>
        <v>150</v>
      </c>
      <c r="BD16" s="126">
        <f t="shared" ref="BD16" si="11">IF(ISNUMBER(BA16/AZ16),BA16/AZ16," - ")</f>
        <v>0.96198830409356728</v>
      </c>
      <c r="BE16" s="127">
        <f t="shared" ref="BE16" si="12">IF(ISNUMBER(BB16/BA16),BB16/BA16, " - ")</f>
        <v>0.74468085106382975</v>
      </c>
      <c r="BF16" s="127">
        <f t="shared" ref="BF16" si="13">IF(ISNUMBER(BC16/BA16),BC16/BA16, " - ")</f>
        <v>0.1519756838905775</v>
      </c>
      <c r="BG16" s="199">
        <f t="shared" si="10"/>
        <v>1.7386018237082066</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21</v>
      </c>
      <c r="J17" s="186">
        <v>0</v>
      </c>
      <c r="K17" s="186">
        <v>3</v>
      </c>
      <c r="L17" s="186">
        <v>18</v>
      </c>
      <c r="M17" s="186">
        <v>0</v>
      </c>
      <c r="N17" s="186">
        <v>0</v>
      </c>
      <c r="O17" s="186">
        <v>0</v>
      </c>
      <c r="P17" s="186">
        <v>0</v>
      </c>
      <c r="Q17" s="186">
        <v>0</v>
      </c>
      <c r="R17" s="186">
        <v>0</v>
      </c>
      <c r="S17" s="186">
        <v>102</v>
      </c>
      <c r="T17" s="186">
        <v>105</v>
      </c>
      <c r="U17" s="186">
        <v>127</v>
      </c>
      <c r="V17" s="186">
        <v>80</v>
      </c>
      <c r="W17" s="186">
        <v>15</v>
      </c>
      <c r="X17" s="192">
        <v>67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102</v>
      </c>
      <c r="AZ17" s="129">
        <f t="shared" si="14"/>
        <v>105</v>
      </c>
      <c r="BA17" s="129">
        <f t="shared" si="14"/>
        <v>127</v>
      </c>
      <c r="BB17" s="129">
        <f t="shared" si="14"/>
        <v>80</v>
      </c>
      <c r="BC17" s="125">
        <f>IF(ISNUMBER(W17),W17," - ")</f>
        <v>15</v>
      </c>
      <c r="BD17" s="126">
        <f>IF(ISNUMBER(BA17/AZ17),BA17/AZ17," - ")</f>
        <v>1.2095238095238094</v>
      </c>
      <c r="BE17" s="127">
        <f>IF(ISNUMBER(BB17/BA17),BB17/BA17, " - ")</f>
        <v>0.62992125984251968</v>
      </c>
      <c r="BF17" s="127">
        <f>IF(ISNUMBER(BC17/BA17),BC17/BA17, " - ")</f>
        <v>0.11811023622047244</v>
      </c>
      <c r="BG17" s="199">
        <f>IF(ISNUMBER((AY17+AZ17)/BA17),(AY17+AZ17)/BA17," - ")</f>
        <v>1.6299212598425197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1112</v>
      </c>
      <c r="J18" s="187">
        <f t="shared" si="15"/>
        <v>1269</v>
      </c>
      <c r="K18" s="187">
        <f t="shared" si="15"/>
        <v>1189</v>
      </c>
      <c r="L18" s="187">
        <f t="shared" si="15"/>
        <v>1128</v>
      </c>
      <c r="M18" s="187">
        <f t="shared" si="15"/>
        <v>146</v>
      </c>
      <c r="N18" s="187">
        <f t="shared" si="15"/>
        <v>707</v>
      </c>
      <c r="O18" s="187">
        <f t="shared" si="15"/>
        <v>16</v>
      </c>
      <c r="P18" s="187">
        <f t="shared" si="15"/>
        <v>38</v>
      </c>
      <c r="Q18" s="187">
        <f t="shared" si="15"/>
        <v>42</v>
      </c>
      <c r="R18" s="187">
        <f t="shared" si="15"/>
        <v>119</v>
      </c>
      <c r="S18" s="187">
        <f t="shared" si="15"/>
        <v>792</v>
      </c>
      <c r="T18" s="187">
        <f t="shared" si="15"/>
        <v>1131</v>
      </c>
      <c r="U18" s="187">
        <f t="shared" si="15"/>
        <v>1114</v>
      </c>
      <c r="V18" s="187">
        <f t="shared" si="15"/>
        <v>815</v>
      </c>
      <c r="W18" s="187">
        <f t="shared" si="15"/>
        <v>165</v>
      </c>
      <c r="X18" s="187">
        <f t="shared" si="15"/>
        <v>586</v>
      </c>
      <c r="Y18" s="187">
        <f t="shared" si="15"/>
        <v>0</v>
      </c>
      <c r="Z18" s="187">
        <f t="shared" si="15"/>
        <v>0</v>
      </c>
      <c r="AA18" s="187">
        <f t="shared" si="15"/>
        <v>0</v>
      </c>
      <c r="AB18" s="187">
        <f t="shared" si="15"/>
        <v>0</v>
      </c>
      <c r="AC18" s="187">
        <f t="shared" si="15"/>
        <v>0</v>
      </c>
      <c r="AD18" s="187">
        <f t="shared" si="15"/>
        <v>8</v>
      </c>
      <c r="AE18" s="187">
        <f t="shared" si="15"/>
        <v>6</v>
      </c>
      <c r="AF18" s="187">
        <f t="shared" si="15"/>
        <v>2</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792</v>
      </c>
      <c r="AZ18" s="187">
        <f>SUBTOTAL(9,AZ14:AZ17)</f>
        <v>1131</v>
      </c>
      <c r="BA18" s="187">
        <f>SUBTOTAL(9,BA14:BA17)</f>
        <v>1114</v>
      </c>
      <c r="BB18" s="187">
        <f>SUBTOTAL(9,BB14:BB17)</f>
        <v>815</v>
      </c>
      <c r="BC18" s="187">
        <f>SUBTOTAL(9,BC14:BC17)</f>
        <v>165</v>
      </c>
      <c r="BD18" s="208">
        <f>IF(ISNUMBER(BA18/AZ18),BA18/AZ18," - ")</f>
        <v>0.98496905393457113</v>
      </c>
      <c r="BE18" s="209">
        <f>IF(ISNUMBER(BB18/BA18),BB18/BA18, " - ")</f>
        <v>0.73159784560143626</v>
      </c>
      <c r="BF18" s="209">
        <f>IF(ISNUMBER(BC18/BA18),BC18/BA18, " - ")</f>
        <v>0.14811490125673249</v>
      </c>
      <c r="BG18" s="210">
        <f>IF(ISNUMBER((AY18+AZ18)/BA18),(AY18+AZ18)/BA18," - ")</f>
        <v>1.7262118491921006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3331</v>
      </c>
      <c r="J19" s="134">
        <f t="shared" si="18"/>
        <v>2389</v>
      </c>
      <c r="K19" s="134">
        <f t="shared" si="18"/>
        <v>2270</v>
      </c>
      <c r="L19" s="134">
        <f t="shared" si="18"/>
        <v>3359</v>
      </c>
      <c r="M19" s="134">
        <f t="shared" si="18"/>
        <v>491</v>
      </c>
      <c r="N19" s="134">
        <f t="shared" si="18"/>
        <v>1233</v>
      </c>
      <c r="O19" s="134">
        <f t="shared" si="18"/>
        <v>553</v>
      </c>
      <c r="P19" s="134">
        <f t="shared" si="18"/>
        <v>270</v>
      </c>
      <c r="Q19" s="134">
        <f t="shared" si="18"/>
        <v>462</v>
      </c>
      <c r="R19" s="134">
        <f t="shared" si="18"/>
        <v>3711</v>
      </c>
      <c r="S19" s="134">
        <f t="shared" si="18"/>
        <v>1978</v>
      </c>
      <c r="T19" s="134">
        <f t="shared" si="18"/>
        <v>2092</v>
      </c>
      <c r="U19" s="134">
        <f t="shared" si="18"/>
        <v>1984</v>
      </c>
      <c r="V19" s="134">
        <f t="shared" si="18"/>
        <v>2092</v>
      </c>
      <c r="W19" s="134">
        <f t="shared" si="18"/>
        <v>417</v>
      </c>
      <c r="X19" s="134">
        <f t="shared" si="18"/>
        <v>1074</v>
      </c>
      <c r="Y19" s="134">
        <f t="shared" si="18"/>
        <v>150</v>
      </c>
      <c r="Z19" s="134">
        <f t="shared" si="18"/>
        <v>140</v>
      </c>
      <c r="AA19" s="134">
        <f t="shared" si="18"/>
        <v>163</v>
      </c>
      <c r="AB19" s="134">
        <f t="shared" si="18"/>
        <v>122</v>
      </c>
      <c r="AC19" s="134">
        <f t="shared" si="18"/>
        <v>0</v>
      </c>
      <c r="AD19" s="134">
        <f t="shared" si="18"/>
        <v>8</v>
      </c>
      <c r="AE19" s="134">
        <f t="shared" si="18"/>
        <v>6</v>
      </c>
      <c r="AF19" s="134">
        <f t="shared" si="18"/>
        <v>2</v>
      </c>
      <c r="AG19" s="134">
        <f t="shared" si="18"/>
        <v>71</v>
      </c>
      <c r="AH19" s="134">
        <f t="shared" si="18"/>
        <v>132</v>
      </c>
      <c r="AI19" s="134">
        <f t="shared" si="18"/>
        <v>114</v>
      </c>
      <c r="AJ19" s="134">
        <f t="shared" si="18"/>
        <v>89</v>
      </c>
      <c r="AK19" s="134">
        <f t="shared" si="18"/>
        <v>0</v>
      </c>
      <c r="AL19" s="134">
        <f t="shared" si="18"/>
        <v>1</v>
      </c>
      <c r="AM19" s="134">
        <f t="shared" si="18"/>
        <v>1</v>
      </c>
      <c r="AN19" s="213">
        <f t="shared" si="18"/>
        <v>0</v>
      </c>
      <c r="AO19" s="214">
        <v>6</v>
      </c>
      <c r="AP19" s="214">
        <v>5</v>
      </c>
      <c r="AQ19" s="214">
        <v>5</v>
      </c>
      <c r="AR19" s="214">
        <v>5</v>
      </c>
      <c r="AS19" s="156">
        <f t="shared" si="18"/>
        <v>0</v>
      </c>
      <c r="AT19" s="156">
        <f t="shared" si="18"/>
        <v>0</v>
      </c>
      <c r="AU19" s="214"/>
      <c r="AV19" s="215"/>
      <c r="AW19" s="214"/>
      <c r="AX19" s="215"/>
      <c r="AY19" s="133">
        <f>SUBTOTAL(9,AY9:AY18)</f>
        <v>2049</v>
      </c>
      <c r="AZ19" s="134">
        <f>SUBTOTAL(9,AZ9:AZ18)</f>
        <v>2224</v>
      </c>
      <c r="BA19" s="134">
        <f>SUBTOTAL(9,BA9:BA18)</f>
        <v>2098</v>
      </c>
      <c r="BB19" s="134">
        <f>SUBTOTAL(9,BB9:BB18)</f>
        <v>2181</v>
      </c>
      <c r="BC19" s="135">
        <f>SUBTOTAL(9,BC9:BC18)</f>
        <v>657</v>
      </c>
      <c r="BD19" s="216">
        <f>IF(ISNUMBER(BA19/AZ19),BA19/AZ19," - ")</f>
        <v>0.94334532374100721</v>
      </c>
      <c r="BE19" s="213">
        <f>IF(ISNUMBER(BB19/BA19),BB19/BA19, " - ")</f>
        <v>1.0395614871306005</v>
      </c>
      <c r="BF19" s="213">
        <f>IF(ISNUMBER(BC19/BA19),BC19/BA19, " - ")</f>
        <v>0.31315538608198284</v>
      </c>
      <c r="BG19" s="135">
        <f>IF(ISNUMBER((AY19+AZ19)/BA19),(AY19+AZ19)/BA19," - ")</f>
        <v>2.0367016205910389</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0w8/WzP5g7sSl11++fJvwFNTXgOYjGwmgrSJwn65XfU61dRGtsUP1pJem5h+nS2bVSST5ps/RDljVH5xxBREA==" saltValue="vAXnT9ijd9T/thVlfnT8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4/KY9Wf9Jqakyf4Do+1qizsSk3xoi27o8AGzEgZH7PPC03N+oRVTyFfz08QH76ETxY1ny8i1sq5Rdg01pavGw==" saltValue="w540ygz9MsFB1tBGFg7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CACERES  Resumenes por Partidos Judiciales  PLASENCIA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3</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140</v>
      </c>
      <c r="O12" s="337"/>
      <c r="P12" s="337"/>
      <c r="Q12" s="229">
        <f>IF(ISNUMBER(Datos!P12),Datos!P12,0)</f>
        <v>232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122</v>
      </c>
      <c r="AI12" s="337" t="str">
        <f>IF(ISNUMBER(Datos!CD12),Datos!CD12,"-")</f>
        <v>-</v>
      </c>
      <c r="AJ12" s="337" t="str">
        <f>IF(ISNUMBER(Datos!EN12),Datos!EN12," - ")</f>
        <v xml:space="preserve"> - </v>
      </c>
      <c r="AK12" s="337"/>
      <c r="AL12" s="482"/>
      <c r="AM12" s="338">
        <f>IF(ISNUMBER(Datos!R12),Datos!R12," - ")</f>
        <v>3586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345</v>
      </c>
      <c r="BD12" s="232">
        <f>IF(ISNUMBER(Datos!N12),Datos!N12," - ")</f>
        <v>526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0.98730158730158735</v>
      </c>
      <c r="BH12" s="263">
        <f>IF(ISNUMBER(((IF(J_V="SI",Datos!L12/Datos!K12,(Datos!L12+Datos!AB12)/(Datos!K12+Datos!AA12)))*11)/factor_trimestre),((IF(J_V="SI",Datos!L12/Datos!K12,(Datos!L12+Datos!AB12)/(Datos!K12+Datos!AA12)))*11)/factor_trimestre," - ")</f>
        <v>5.667202572347267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-4.9814520402755698E-2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140</v>
      </c>
      <c r="O13" s="903">
        <f t="shared" si="0"/>
        <v>0</v>
      </c>
      <c r="P13" s="903">
        <f t="shared" si="0"/>
        <v>0</v>
      </c>
      <c r="Q13" s="902">
        <f t="shared" si="0"/>
        <v>232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420</v>
      </c>
      <c r="AD13" s="902">
        <f t="shared" si="1"/>
        <v>0</v>
      </c>
      <c r="AE13" s="902">
        <f t="shared" si="1"/>
        <v>0</v>
      </c>
      <c r="AF13" s="902">
        <f t="shared" si="1"/>
        <v>3</v>
      </c>
      <c r="AG13" s="902">
        <f t="shared" si="1"/>
        <v>0</v>
      </c>
      <c r="AH13" s="902">
        <f t="shared" si="1"/>
        <v>122</v>
      </c>
      <c r="AI13" s="902">
        <f t="shared" si="1"/>
        <v>0</v>
      </c>
      <c r="AJ13" s="902">
        <f t="shared" si="1"/>
        <v>0</v>
      </c>
      <c r="AK13" s="902">
        <f t="shared" si="1"/>
        <v>0</v>
      </c>
      <c r="AL13" s="902">
        <f t="shared" si="1"/>
        <v>0</v>
      </c>
      <c r="AM13" s="902">
        <f t="shared" si="1"/>
        <v>3592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345</v>
      </c>
      <c r="BD13" s="902">
        <f t="shared" si="1"/>
        <v>526</v>
      </c>
      <c r="BE13" s="902">
        <f t="shared" si="1"/>
        <v>0</v>
      </c>
      <c r="BF13" s="902">
        <f t="shared" si="1"/>
        <v>0</v>
      </c>
      <c r="BG13" s="902">
        <f>IF(ISNUMBER(Datos!K13/Datos!J13),Datos!K13/Datos!J13," - ")</f>
        <v>0.96517857142857144</v>
      </c>
      <c r="BH13" s="906">
        <f>IF(ISNUMBER(((Datos!L13/Datos!K13)*11)/factor_trimestre),((Datos!L13/Datos!K13)*11)/factor_trimestre," - ")</f>
        <v>6.1914893617021285</v>
      </c>
      <c r="BI13" s="902">
        <f>IF(ISNUMBER('Resol  Asuntos'!D13/NºAsuntos!G13),'Resol  Asuntos'!D13/NºAsuntos!G13," - ")</f>
        <v>0.27733118971061094</v>
      </c>
      <c r="BJ13" s="902" t="str">
        <f>IF(ISNUMBER(Datos!CI13/Datos!CJ13),Datos!CI13/Datos!CJ13," - ")</f>
        <v xml:space="preserve"> - </v>
      </c>
      <c r="BK13" s="902">
        <f>SUBTOTAL(9,BK8:BK12)</f>
        <v>0</v>
      </c>
      <c r="BL13" s="902">
        <f>IF(ISNUMBER((I13-AB13+L13)/(F13)),(I13-AB13+L13)/(F13)," - ")</f>
        <v>0</v>
      </c>
      <c r="BM13" s="907">
        <f>SUBTOTAL(9,BM9:BM12)</f>
        <v>-4.9814520402755698E-2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1027</v>
      </c>
      <c r="G16" s="601">
        <f>IF(ISNUMBER(IF(D_I="SI",Datos!I16,Datos!I16+Datos!AC16)),IF(D_I="SI",Datos!I16,Datos!I16+Datos!AC16)," - ")</f>
        <v>1091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1186</v>
      </c>
      <c r="AC16" s="229">
        <f>IF(ISNUMBER(Datos!Q16),Datos!Q16," - ")</f>
        <v>42</v>
      </c>
      <c r="AD16" s="337"/>
      <c r="AE16" s="487"/>
      <c r="AF16" s="599">
        <f>IF(ISNUMBER(IF(D_I="SI",Datos!L16,Datos!L16+Datos!AF16)),IF(D_I="SI",Datos!L16,Datos!L16+Datos!AF16)," - ")</f>
        <v>1110</v>
      </c>
      <c r="AG16" s="337"/>
      <c r="AH16" s="337"/>
      <c r="AI16" s="337"/>
      <c r="AJ16" s="337"/>
      <c r="AK16" s="337"/>
      <c r="AL16" s="482"/>
      <c r="AM16" s="338">
        <f>IF(ISNUMBER(Datos!R16),Datos!R16," - ")</f>
        <v>119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146</v>
      </c>
      <c r="BD16" s="232">
        <f>IF(ISNUMBER(Datos!N16),Datos!N16," - ")</f>
        <v>707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0.93459416863672184</v>
      </c>
      <c r="BH16" s="263">
        <f>IF(ISNUMBER(((IF(D_I="SI",Datos!L16/Datos!K16,(Datos!L16+Datos!AF16)/(Datos!K16+Datos!AE16)))*11)/factor_trimestre),((IF(D_I="SI",Datos!L16/Datos!K16,(Datos!L16+Datos!AF16)/(Datos!K16+Datos!AE16)))*11)/factor_trimestre," - ")</f>
        <v>2.8077571669477237</v>
      </c>
      <c r="BI16" s="246">
        <f>IF(ISNUMBER('Resol  Asuntos'!D16/NºAsuntos!G16),'Resol  Asuntos'!D16/NºAsuntos!G16," - ")</f>
        <v>0.12310286677908938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v>
      </c>
      <c r="AC17" s="229">
        <f>IF(ISNUMBER(Datos!Q17),Datos!Q17," - ")</f>
        <v>0</v>
      </c>
      <c r="AD17" s="337"/>
      <c r="AE17" s="487"/>
      <c r="AF17" s="335">
        <f>IF(ISNUMBER(Datos!L17),Datos!L17,"-")</f>
        <v>18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0</v>
      </c>
      <c r="BE17" s="232" t="str">
        <f>IF(ISNUMBER(Datos!BW17),Datos!BW17," - ")</f>
        <v xml:space="preserve"> - </v>
      </c>
      <c r="BF17" s="231" t="str">
        <f>IF(ISNUMBER(Datos!BX17),Datos!BX17," - ")</f>
        <v xml:space="preserve"> - </v>
      </c>
      <c r="BG17" s="246" t="str">
        <f>IF(ISNUMBER(IF(D_I="SI",Datos!K17/Datos!J17,(Datos!K17+Datos!AE17)/(Datos!J17+Datos!AD17))),IF(D_I="SI",Datos!K17/Datos!J17,(Datos!K17+Datos!AE17)/(Datos!J17+Datos!AD17))," - ")</f>
        <v xml:space="preserve"> - </v>
      </c>
      <c r="BH17" s="263">
        <f>IF(ISNUMBER(((IF(D_I="SI",Datos!L17/Datos!K17,(Datos!L17+Datos!AF17)/(Datos!K17+Datos!AE17)))*11)/factor_trimestre),((IF(D_I="SI",Datos!L17/Datos!K17,(Datos!L17+Datos!AF17)/(Datos!K17+Datos!AE17)))*11)/factor_trimestre," - ")</f>
        <v>18</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1027</v>
      </c>
      <c r="G18" s="901">
        <f>SUBTOTAL(9,G15:G17)</f>
        <v>1112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1189</v>
      </c>
      <c r="AC18" s="902">
        <f t="shared" si="4"/>
        <v>42</v>
      </c>
      <c r="AD18" s="902">
        <f t="shared" si="4"/>
        <v>0</v>
      </c>
      <c r="AE18" s="902">
        <f t="shared" si="4"/>
        <v>0</v>
      </c>
      <c r="AF18" s="902">
        <f t="shared" si="4"/>
        <v>1128</v>
      </c>
      <c r="AG18" s="902">
        <f t="shared" si="4"/>
        <v>0</v>
      </c>
      <c r="AH18" s="902">
        <f t="shared" si="4"/>
        <v>0</v>
      </c>
      <c r="AI18" s="902">
        <f t="shared" si="4"/>
        <v>0</v>
      </c>
      <c r="AJ18" s="902">
        <f t="shared" si="4"/>
        <v>0</v>
      </c>
      <c r="AK18" s="902">
        <f t="shared" si="4"/>
        <v>0</v>
      </c>
      <c r="AL18" s="902">
        <f t="shared" si="4"/>
        <v>0</v>
      </c>
      <c r="AM18" s="902">
        <f t="shared" si="4"/>
        <v>119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146</v>
      </c>
      <c r="BD18" s="902">
        <f t="shared" si="4"/>
        <v>707</v>
      </c>
      <c r="BE18" s="902">
        <f t="shared" si="4"/>
        <v>0</v>
      </c>
      <c r="BF18" s="902">
        <f t="shared" si="4"/>
        <v>0</v>
      </c>
      <c r="BG18" s="902">
        <f>IF(ISNUMBER(Datos!K18/Datos!J18),Datos!K18/Datos!J18," - ")</f>
        <v>0.93695823483057528</v>
      </c>
      <c r="BH18" s="906">
        <f>IF(ISNUMBER(((Datos!L18/Datos!K18)*11)/factor_trimestre),((Datos!L18/Datos!K18)*11)/factor_trimestre," - ")</f>
        <v>2.8460891505466783</v>
      </c>
      <c r="BI18" s="902">
        <f>SUBTOTAL(9,BI15:BI17)</f>
        <v>0.12310286677908938</v>
      </c>
      <c r="BJ18" s="902">
        <f>SUBTOTAL(9,BJ15:BJ17)</f>
        <v>0</v>
      </c>
      <c r="BK18" s="902">
        <f>SUBTOTAL(9,BK15:BK17)</f>
        <v>0</v>
      </c>
      <c r="BL18" s="902">
        <f>IF(ISNUMBER((I18-AB18+L18)/(F18)),(I18-AB18+L18)/(F18)," - ")</f>
        <v>-1.1577409931840312</v>
      </c>
      <c r="BM18" s="908">
        <f>IF(ISNUMBER((Datos!P18-Datos!Q18)/(Datos!R18-Datos!P18+Datos!Q18)),(Datos!P18-Datos!Q18)/(Datos!R18-Datos!P18+Datos!Q18)," - ")</f>
        <v>-3.2520325203252036E-2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1030</v>
      </c>
      <c r="G19" s="823">
        <f t="shared" si="6"/>
        <v>1115</v>
      </c>
      <c r="H19" s="825">
        <f t="shared" si="6"/>
        <v>0</v>
      </c>
      <c r="I19" s="823">
        <f t="shared" si="6"/>
        <v>0</v>
      </c>
      <c r="J19" s="825">
        <f t="shared" si="6"/>
        <v>0</v>
      </c>
      <c r="K19" s="825">
        <f t="shared" si="6"/>
        <v>0</v>
      </c>
      <c r="L19" s="884">
        <f t="shared" si="6"/>
        <v>0</v>
      </c>
      <c r="M19" s="884">
        <f t="shared" si="6"/>
        <v>0</v>
      </c>
      <c r="N19" s="884">
        <f t="shared" si="6"/>
        <v>140</v>
      </c>
      <c r="O19" s="884">
        <f t="shared" si="6"/>
        <v>0</v>
      </c>
      <c r="P19" s="884">
        <f t="shared" si="6"/>
        <v>0</v>
      </c>
      <c r="Q19" s="825">
        <f t="shared" si="6"/>
        <v>270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1189</v>
      </c>
      <c r="AC19" s="824">
        <f t="shared" si="7"/>
        <v>462</v>
      </c>
      <c r="AD19" s="824">
        <f t="shared" si="7"/>
        <v>0</v>
      </c>
      <c r="AE19" s="824">
        <f t="shared" si="7"/>
        <v>0</v>
      </c>
      <c r="AF19" s="831">
        <f t="shared" si="7"/>
        <v>1131</v>
      </c>
      <c r="AG19" s="831">
        <f t="shared" si="7"/>
        <v>0</v>
      </c>
      <c r="AH19" s="831">
        <f t="shared" si="7"/>
        <v>122</v>
      </c>
      <c r="AI19" s="831">
        <f t="shared" si="7"/>
        <v>0</v>
      </c>
      <c r="AJ19" s="824">
        <f t="shared" si="7"/>
        <v>0</v>
      </c>
      <c r="AK19" s="831">
        <f t="shared" si="7"/>
        <v>0</v>
      </c>
      <c r="AL19" s="831">
        <f t="shared" si="7"/>
        <v>0</v>
      </c>
      <c r="AM19" s="831">
        <f t="shared" si="7"/>
        <v>3711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491</v>
      </c>
      <c r="BD19" s="823">
        <f t="shared" si="7"/>
        <v>1233</v>
      </c>
      <c r="BE19" s="823">
        <f t="shared" si="7"/>
        <v>0</v>
      </c>
      <c r="BF19" s="833">
        <f t="shared" si="7"/>
        <v>0</v>
      </c>
      <c r="BG19" s="918">
        <f>IF(ISNUMBER(Datos!K19/Datos!J19),Datos!K19/Datos!J19," - ")</f>
        <v>0.95018836333193801</v>
      </c>
      <c r="BH19" s="918">
        <f>IF(ISNUMBER(((Datos!L19/Datos!K19)*11)/factor_trimestre),((Datos!L19/Datos!K19)*11)/factor_trimestre," - ")</f>
        <v>4.4392070484581501</v>
      </c>
      <c r="BI19" s="816">
        <f>IF(ISNUMBER(Datos!J19/Datos!I19),Datos!J19/Datos!I19," - ")</f>
        <v>0.71720204142900035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-1.1543689320388351</v>
      </c>
      <c r="BM19" s="892">
        <f>IF(ISNUMBER((Datos!P19-Datos!Q19+R19)/(Datos!R19-Datos!P19+Datos!Q19-R19)),(Datos!P19-Datos!Q19+R19)/(Datos!R19-Datos!P19+Datos!Q19-R19)," - ")</f>
        <v>-4.919292851652575E-2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446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591.20667565017675</v>
      </c>
      <c r="G21" s="555">
        <f>IF(ISNUMBER(STDEV(G8:G18)),STDEV(G8:G18),"-")</f>
        <v>598.47806977365508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649.8748341026909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154.89437261135947</v>
      </c>
      <c r="BD21" s="554"/>
      <c r="BE21" s="554">
        <f>IF(ISNUMBER(STDEV(BE8:BE18)),STDEV(BE8:BE18),"-")</f>
        <v>0</v>
      </c>
      <c r="BF21" s="559">
        <f>IF(ISNUMBER(STDEV(BF8:BF18)),STDEV(BF8:BF18),"-")</f>
        <v>0</v>
      </c>
      <c r="BG21" s="778">
        <f>IF(ISNUMBER(STDEV(BG8:BG18)),STDEV(BG8:BG18),"-")</f>
        <v>2.5065472354846522E-2</v>
      </c>
      <c r="BH21" s="779">
        <f>IF(ISNUMBER(STDEV(BH8:BH18)),STDEV(BH8:BH18),"-")</f>
        <v>6.2890256530726516</v>
      </c>
      <c r="BI21" s="252">
        <f>IF(ISNUMBER(STDEV(BI8:BI18)),STDEV(BI8:BI18),"-")</f>
        <v>0.11357595534608209</v>
      </c>
      <c r="BJ21" s="233" t="str">
        <f>IF(ISNUMBER(BL21/BM21),BL21/BM21," - ")</f>
        <v xml:space="preserve"> - </v>
      </c>
      <c r="BK21" s="578"/>
      <c r="BL21" s="562">
        <f>IF(ISNUMBER(STDEV(BL8:BL18)),STDEV(BL8:BL18),"-")</f>
        <v>0.81864650713807696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kTPJ2ipXLrRmnE1SERLyGT6koV60+D+hx9mT2WzvFz+2P4PmvkUSN6UOy4OOz+NXm792meoTLM+YASUtgqsAw==" saltValue="EO/dm0KdpQZHIYs8nV9e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CACERES  Resumenes por Partidos Judiciales  PLASENCIA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3</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420</v>
      </c>
      <c r="AA12" s="335" t="str">
        <f>IF(ISNUMBER(IF(J_V="SI",Datos!L12,Datos!L12+Datos!AB12)-IF(Monitorios="SI",Datos!CD12,0)),
                          IF(J_V="SI",Datos!L12,Datos!L12+Datos!AB12)-IF(Monitorios="SI",Datos!CD12,0),
                          " - ")</f>
        <v xml:space="preserve"> - </v>
      </c>
      <c r="AB12" s="337"/>
      <c r="AC12" s="337"/>
      <c r="AD12" s="487"/>
      <c r="AE12" s="487">
        <f>IF(ISNUMBER(Datos!R12),Datos!R12," - ")</f>
        <v>3586</v>
      </c>
      <c r="AF12" s="232" t="str">
        <f>IF(ISNUMBER(Datos!BV12),Datos!BV12," - ")</f>
        <v xml:space="preserve"> - </v>
      </c>
      <c r="AG12" s="228" t="str">
        <f>IF(ISNUMBER(Datos!DV12),Datos!DV12," - ")</f>
        <v xml:space="preserve"> - </v>
      </c>
      <c r="AH12" s="301"/>
      <c r="AI12" s="230"/>
      <c r="AJ12" s="228">
        <f>IF(ISNUMBER(Datos!M12),Datos!M12," - ")</f>
        <v>345</v>
      </c>
      <c r="AK12" s="232">
        <f>IF(ISNUMBER(Datos!N12),Datos!N12," - ")</f>
        <v>526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5.667202572347267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-4.9814520402755698E-2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232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420</v>
      </c>
      <c r="AA13" s="903">
        <f t="shared" si="2"/>
        <v>3</v>
      </c>
      <c r="AB13" s="903">
        <f t="shared" si="2"/>
        <v>0</v>
      </c>
      <c r="AC13" s="903">
        <f t="shared" si="2"/>
        <v>0</v>
      </c>
      <c r="AD13" s="903">
        <f t="shared" si="2"/>
        <v>0</v>
      </c>
      <c r="AE13" s="903">
        <f t="shared" si="2"/>
        <v>3592</v>
      </c>
      <c r="AF13" s="911">
        <f t="shared" si="2"/>
        <v>0</v>
      </c>
      <c r="AG13" s="911">
        <f t="shared" si="2"/>
        <v>0</v>
      </c>
      <c r="AH13" s="911">
        <f t="shared" si="2"/>
        <v>0</v>
      </c>
      <c r="AI13" s="911">
        <f t="shared" si="2"/>
        <v>0</v>
      </c>
      <c r="AJ13" s="911">
        <f t="shared" si="2"/>
        <v>345</v>
      </c>
      <c r="AK13" s="911">
        <f t="shared" si="2"/>
        <v>526</v>
      </c>
      <c r="AL13" s="911">
        <f t="shared" si="2"/>
        <v>0</v>
      </c>
      <c r="AM13" s="911">
        <f t="shared" si="2"/>
        <v>0</v>
      </c>
      <c r="AN13" s="911">
        <f t="shared" si="2"/>
        <v>0</v>
      </c>
      <c r="AO13" s="907">
        <f>IF(ISNUMBER(((NºAsuntos!I13/NºAsuntos!G13)*11)/factor_trimestre),((NºAsuntos!I13/NºAsuntos!G13)*11)/factor_trimestre," - ")</f>
        <v>5.6744372990353691</v>
      </c>
      <c r="AP13" s="913" t="str">
        <f>IF(ISNUMBER(Datos!CI13/Datos!CJ13),Datos!CI13/Datos!CJ13," - ")</f>
        <v xml:space="preserve"> - </v>
      </c>
      <c r="AQ13" s="931">
        <f t="shared" ref="AQ13:AV13" si="3">SUBTOTAL(9,AQ9:AQ12)</f>
        <v>0</v>
      </c>
      <c r="AR13" s="931">
        <f t="shared" si="3"/>
        <v>-4.9814520402755698E-2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1027</v>
      </c>
      <c r="G16" s="228">
        <f>IF(ISNUMBER(IF(D_I="SI",Datos!I16,Datos!I16+Datos!AC16)),IF(D_I="SI",Datos!I16,Datos!I16+Datos!AC16)," - ")</f>
        <v>1091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1186</v>
      </c>
      <c r="Z16" s="622">
        <f>IF(ISNUMBER(Datos!Q16),Datos!Q16," - ")</f>
        <v>42</v>
      </c>
      <c r="AA16" s="335">
        <f>IF(ISNUMBER(IF(D_I="SI",Datos!L16,Datos!L16+Datos!AF16)),IF(D_I="SI",Datos!L16,Datos!L16+Datos!AF16)," - ")</f>
        <v>1110</v>
      </c>
      <c r="AB16" s="337"/>
      <c r="AC16" s="337"/>
      <c r="AD16" s="487"/>
      <c r="AE16" s="487">
        <f>IF(ISNUMBER(Datos!R16),Datos!R16," - ")</f>
        <v>119</v>
      </c>
      <c r="AF16" s="232" t="str">
        <f>IF(ISNUMBER(Datos!BV16),Datos!BV16," - ")</f>
        <v xml:space="preserve"> - </v>
      </c>
      <c r="AG16" s="228"/>
      <c r="AH16" s="301"/>
      <c r="AI16" s="230"/>
      <c r="AJ16" s="228">
        <f>IF(ISNUMBER(Datos!M16),Datos!M16," - ")</f>
        <v>146</v>
      </c>
      <c r="AK16" s="232">
        <f>IF(ISNUMBER(Datos!N16),Datos!N16," - ")</f>
        <v>707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2.8077571669477237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v>
      </c>
      <c r="Z17" s="622">
        <f>IF(ISNUMBER(Datos!Q17),Datos!Q17," - ")</f>
        <v>0</v>
      </c>
      <c r="AA17" s="335">
        <f>IF(ISNUMBER(Datos!L17),Datos!L17,"-")</f>
        <v>18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1027</v>
      </c>
      <c r="G18" s="901">
        <f>SUBTOTAL(9,G15:G17)</f>
        <v>1112</v>
      </c>
      <c r="H18" s="935">
        <f>SUBTOTAL(9,H15:H17)</f>
        <v>0</v>
      </c>
      <c r="I18" s="914">
        <f>SUBTOTAL(9,I15:I17)</f>
        <v>0</v>
      </c>
      <c r="J18" s="870">
        <f>SUBTOTAL(9,J14:J17)</f>
        <v>0</v>
      </c>
      <c r="K18" s="935">
        <f t="shared" ref="K18:S18" si="4">SUBTOTAL(9,K15:K17)</f>
        <v>0</v>
      </c>
      <c r="L18" s="935">
        <f t="shared" si="4"/>
        <v>0</v>
      </c>
      <c r="M18" s="935">
        <f t="shared" si="4"/>
        <v>0</v>
      </c>
      <c r="N18" s="935">
        <f t="shared" si="4"/>
        <v>38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1189</v>
      </c>
      <c r="Z18" s="935">
        <f t="shared" si="5"/>
        <v>42</v>
      </c>
      <c r="AA18" s="935">
        <f t="shared" si="5"/>
        <v>1128</v>
      </c>
      <c r="AB18" s="935">
        <f t="shared" si="5"/>
        <v>0</v>
      </c>
      <c r="AC18" s="935">
        <f t="shared" si="5"/>
        <v>0</v>
      </c>
      <c r="AD18" s="935">
        <f t="shared" si="5"/>
        <v>0</v>
      </c>
      <c r="AE18" s="935">
        <f t="shared" si="5"/>
        <v>119</v>
      </c>
      <c r="AF18" s="935">
        <f t="shared" si="5"/>
        <v>0</v>
      </c>
      <c r="AG18" s="935">
        <f t="shared" si="5"/>
        <v>0</v>
      </c>
      <c r="AH18" s="935">
        <f t="shared" si="5"/>
        <v>0</v>
      </c>
      <c r="AI18" s="935">
        <f t="shared" si="5"/>
        <v>0</v>
      </c>
      <c r="AJ18" s="935">
        <f t="shared" si="5"/>
        <v>146</v>
      </c>
      <c r="AK18" s="935">
        <f t="shared" si="5"/>
        <v>707</v>
      </c>
      <c r="AL18" s="935">
        <f t="shared" si="5"/>
        <v>0</v>
      </c>
      <c r="AM18" s="935">
        <f t="shared" si="5"/>
        <v>0</v>
      </c>
      <c r="AN18" s="935">
        <f t="shared" si="5"/>
        <v>0</v>
      </c>
      <c r="AO18" s="937">
        <f>IF(ISNUMBER(((NºAsuntos!I18/NºAsuntos!G18)*11)/factor_trimestre),((NºAsuntos!I18/NºAsuntos!G18)*11)/factor_trimestre," - ")</f>
        <v>2.8460891505466783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1030</v>
      </c>
      <c r="G19" s="823">
        <f t="shared" si="7"/>
        <v>1115</v>
      </c>
      <c r="H19" s="824">
        <f t="shared" si="7"/>
        <v>0</v>
      </c>
      <c r="I19" s="823">
        <f t="shared" si="7"/>
        <v>0</v>
      </c>
      <c r="J19" s="825">
        <f t="shared" si="7"/>
        <v>0</v>
      </c>
      <c r="K19" s="823">
        <f t="shared" si="7"/>
        <v>0</v>
      </c>
      <c r="L19" s="826">
        <f t="shared" si="7"/>
        <v>0</v>
      </c>
      <c r="M19" s="823">
        <f t="shared" si="7"/>
        <v>0</v>
      </c>
      <c r="N19" s="824">
        <f t="shared" si="7"/>
        <v>270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1189</v>
      </c>
      <c r="Z19" s="830">
        <f t="shared" si="8"/>
        <v>462</v>
      </c>
      <c r="AA19" s="831">
        <f t="shared" si="8"/>
        <v>1131</v>
      </c>
      <c r="AB19" s="831">
        <f t="shared" si="8"/>
        <v>0</v>
      </c>
      <c r="AC19" s="831">
        <f t="shared" si="8"/>
        <v>0</v>
      </c>
      <c r="AD19" s="832">
        <f t="shared" si="8"/>
        <v>0</v>
      </c>
      <c r="AE19" s="832">
        <f t="shared" si="8"/>
        <v>3711</v>
      </c>
      <c r="AF19" s="833">
        <f t="shared" si="8"/>
        <v>0</v>
      </c>
      <c r="AG19" s="834">
        <f t="shared" si="8"/>
        <v>0</v>
      </c>
      <c r="AH19" s="835">
        <f t="shared" si="8"/>
        <v>0</v>
      </c>
      <c r="AI19" s="833">
        <f t="shared" si="8"/>
        <v>0</v>
      </c>
      <c r="AJ19" s="823">
        <f t="shared" si="8"/>
        <v>491</v>
      </c>
      <c r="AK19" s="823">
        <f t="shared" si="8"/>
        <v>1233</v>
      </c>
      <c r="AL19" s="823">
        <f t="shared" si="8"/>
        <v>0</v>
      </c>
      <c r="AM19" s="836">
        <f t="shared" si="8"/>
        <v>0</v>
      </c>
      <c r="AN19" s="826">
        <f>IF(ISNUMBER(Datos!K19/Datos!J19),Datos!K19/Datos!J19," - ")</f>
        <v>0.95018836333193801</v>
      </c>
      <c r="AO19" s="826">
        <f>IF(ISNUMBER(FIND("06",Criterios!A8,1)),(IF(ISNUMBER(((Datos!R19/Datos!Q19)*11)/factor_trimestre),((Datos!R19/Datos!Q19)*11)/factor_trimestre," - ")),(IF(ISNUMBER(((Datos!L19/Datos!K19)*11)/factor_trimestre),((Datos!L19/Datos!K19)*11)/factor_trimestre," - ")))</f>
        <v>4.4392070484581501</v>
      </c>
      <c r="AP19" s="837" t="str">
        <f>IF(ISNUMBER(Datos!CI19/Datos!CJ19),Datos!CI19/Datos!CJ19," - ")</f>
        <v xml:space="preserve"> - </v>
      </c>
      <c r="AQ19" s="837">
        <f>IF(OR(ISNUMBER(FIND("01",Criterios!A8,1)),ISNUMBER(FIND("02",Criterios!A8,1)),ISNUMBER(FIND("03",Criterios!A8,1)),ISNUMBER(FIND("04",Criterios!A8,1))),(J19-Y19+K19)/(F19-K19),(I19-Y19+K19)/(F19-K19))</f>
        <v>-1.1543689320388351</v>
      </c>
      <c r="AR19" s="837">
        <f>IF(ISNUMBER((Datos!P19-Datos!Q19+O19)/(Datos!R19-Datos!P19+Datos!Q19-O19)),(Datos!P19-Datos!Q19+O19)/(Datos!R19-Datos!P19+Datos!Q19-O19)," - ")</f>
        <v>-4.919292851652575E-2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446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591.20667565017675</v>
      </c>
      <c r="G21" s="555">
        <f>IF(ISNUMBER(STDEV(G8:G18)),STDEV(G8:G18),"-")</f>
        <v>598.47806977365508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154.89437261135947</v>
      </c>
      <c r="AK21" s="255"/>
      <c r="AL21" s="255">
        <f>IF(ISNUMBER(STDEV(AL8:AL18)),STDEV(AL8:AL18),"-")</f>
        <v>0</v>
      </c>
      <c r="AM21" s="257">
        <f>IF(ISNUMBER(STDEV(AM8:AM18)),STDEV(AM8:AM18),"-")</f>
        <v>0</v>
      </c>
      <c r="AN21" s="542">
        <f>IF(ISNUMBER(STDEV(AN8:AN18)),STDEV(AN8:AN18),"-")</f>
        <v>0</v>
      </c>
      <c r="AO21" s="543">
        <f>IF(ISNUMBER(STDEV(AO8:AO18)),STDEV(AO8:AO18),"-")</f>
        <v>6.3119596144725998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AIkwZbEtny026++dnuvF/u8dvLsweGVKK4qyQhhvT3M9q8ITb5HmL9FisM9SMs1qHSaFTs5Iw/heYq0Ow1Wng==" saltValue="0CjdikDUa+BRpYcmxGcy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47qoYw3N1vlT7h6URFNymeGRMLqs/a1VgIqLoJIBw+jYZfgC0JKw3tY6d+Q31YudtN2nVC+oX460oTL5QVOpVQ==" saltValue="6p7LJtx84Xf/CxZLMzR/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qqS5/AKjq7KYCKEHu0jhLdSpxQdYfHPuPB23P11KlVPAHZO7PvQxs7Q/mW/4SuLxJJehEaucwN+zz0oAbYnw==" saltValue="xT/AK+8sSRlCga3PtOi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CACERES  Resumenes por Partidos Judiciales  PLASENCIA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0.27733118971061094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0.19610276487890588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7XJDJvvMrzLkLeSQzM8FoxDvNicL4eAVgNYdUBqG74diEVj1XBfKLGNwULQz7qnEKZX/2b4M/KM2nYltgnzY4g==" saltValue="LVFAgmQNVE6vEgQmHyvB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8IVVG1l1iUvK14aFy77ZpzgZf/MthET5okGzVzYG1sZMeRO86ESEY+AWPRc8hiTQWZYQYGRybDaU/w8KrU5nyg==" saltValue="cTSy4O4S08QYRT24/DWY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CACERES</v>
      </c>
      <c r="D3" s="378"/>
      <c r="E3" s="378"/>
      <c r="F3" s="378"/>
    </row>
    <row r="4" spans="1:14" ht="13.5" thickBot="1">
      <c r="A4" s="378"/>
      <c r="B4" s="394" t="str">
        <f>Criterios!A11 &amp;"  "&amp;Criterios!B11</f>
        <v>Resumenes por Partidos Judiciales  PLASENCIA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0</v>
      </c>
      <c r="F10" s="407">
        <f>IF(ISNUMBER(E10/B10),E10/B10," - ")</f>
        <v>0</v>
      </c>
      <c r="G10" s="406">
        <f>IF(ISNUMBER(Datos!K10),Datos!K10," - ")</f>
        <v>0</v>
      </c>
      <c r="H10" s="407">
        <f>IF(ISNUMBER(G10/B10),G10/B10," - ")</f>
        <v>0</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2366</v>
      </c>
      <c r="D12" s="407">
        <f>IF(ISNUMBER(C12/Datos!BH12),C12/Datos!BH12," - ")</f>
        <v>473.2</v>
      </c>
      <c r="E12" s="406">
        <f>IF(ISNUMBER(IF(J_V="SI",Datos!J12,Datos!J12+Datos!Z12)),IF(J_V="SI",Datos!J12,Datos!J12+Datos!Z12)," - ")</f>
        <v>1260</v>
      </c>
      <c r="F12" s="407">
        <f>IF(ISNUMBER(E12/B12),E12/B12," - ")</f>
        <v>252</v>
      </c>
      <c r="G12" s="406">
        <f>IF(ISNUMBER(IF(J_V="SI",Datos!K12,Datos!K12+Datos!AA12)),IF(J_V="SI",Datos!K12,Datos!K12+Datos!AA12)," - ")</f>
        <v>1244</v>
      </c>
      <c r="H12" s="407">
        <f>IF(ISNUMBER(G12/B12),G12/B12," - ")</f>
        <v>248.8</v>
      </c>
      <c r="I12" s="406">
        <f>IF(ISNUMBER(IF(J_V="SI",Datos!L12,Datos!L12+Datos!AB12)),IF(J_V="SI",Datos!L12,Datos!L12+Datos!AB12)," - ")</f>
        <v>2350</v>
      </c>
      <c r="J12" s="407">
        <f>IF(ISNUMBER(I12/B12),I12/B12," - ")</f>
        <v>470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2369</v>
      </c>
      <c r="D13" s="853" t="str">
        <f>IF(ISNUMBER(C13/Datos!BI13),C13/Datos!BI13," - ")</f>
        <v xml:space="preserve"> - </v>
      </c>
      <c r="E13" s="852">
        <f>SUBTOTAL(9,E8:E12)</f>
        <v>1260</v>
      </c>
      <c r="F13" s="853">
        <f>IF(ISNUMBER(E13/B13),E13/B13," - ")</f>
        <v>252</v>
      </c>
      <c r="G13" s="852">
        <f>SUBTOTAL(9,G8:G12)</f>
        <v>1244</v>
      </c>
      <c r="H13" s="853">
        <f>IF(ISNUMBER(G13/B13),G13/B13," - ")</f>
        <v>248.8</v>
      </c>
      <c r="I13" s="852">
        <f>SUBTOTAL(9,I8:I12)</f>
        <v>2353</v>
      </c>
      <c r="J13" s="853">
        <f>IF(ISNUMBER(I13/B13),I13/B13," - ")</f>
        <v>470.6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1091</v>
      </c>
      <c r="D16" s="407">
        <f>IF(ISNUMBER(C16/Datos!BH16),C16/Datos!BH16," - ")</f>
        <v>218.2</v>
      </c>
      <c r="E16" s="406">
        <f>IF(ISNUMBER(IF(D_I="SI",Datos!J16,Datos!J16+Datos!AD16)),IF(D_I="SI",Datos!J16,Datos!J16+Datos!AD16)," - ")</f>
        <v>1269</v>
      </c>
      <c r="F16" s="407">
        <f>IF(ISNUMBER(E16/B16),E16/B16," - ")</f>
        <v>253.8</v>
      </c>
      <c r="G16" s="406">
        <f>IF(ISNUMBER(IF(D_I="SI",Datos!K16,Datos!K16+Datos!AE16)),IF(D_I="SI",Datos!K16,Datos!K16+Datos!AE16)," - ")</f>
        <v>1186</v>
      </c>
      <c r="H16" s="407">
        <f>IF(ISNUMBER(G16/B16),G16/B16," - ")</f>
        <v>237.2</v>
      </c>
      <c r="I16" s="406">
        <f>IF(ISNUMBER(IF(D_I="SI",Datos!L16,Datos!L16+Datos!AF16)),IF(D_I="SI",Datos!L16,Datos!L16+Datos!AF16)," - ")</f>
        <v>1110</v>
      </c>
      <c r="J16" s="407">
        <f>IF(ISNUMBER(I16/B16),I16/B16," - ")</f>
        <v>222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0</v>
      </c>
      <c r="F17" s="407">
        <f>IF(ISNUMBER(E17/B17),E17/B17," - ")</f>
        <v>0</v>
      </c>
      <c r="G17" s="406">
        <f>IF(ISNUMBER(IF(D_I="SI",Datos!K17,Datos!K17+Datos!AE17)),IF(D_I="SI",Datos!K17,Datos!K17+Datos!AE17)," - ")</f>
        <v>3</v>
      </c>
      <c r="H17" s="407">
        <f>IF(ISNUMBER(G17/B17),G17/B17," - ")</f>
        <v>3</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1112</v>
      </c>
      <c r="D18" s="853" t="str">
        <f>IF(ISNUMBER(C18/Datos!BI18),C18/Datos!BI18," - ")</f>
        <v xml:space="preserve"> - </v>
      </c>
      <c r="E18" s="852">
        <f>SUBTOTAL(9,E14:E17)</f>
        <v>1269</v>
      </c>
      <c r="F18" s="853">
        <f>IF(ISNUMBER(E18/B18),E18/B18," - ")</f>
        <v>253.8</v>
      </c>
      <c r="G18" s="852">
        <f>SUBTOTAL(9,G14:G17)</f>
        <v>1189</v>
      </c>
      <c r="H18" s="853">
        <f>IF(ISNUMBER(G18/B18),G18/B18," - ")</f>
        <v>237.8</v>
      </c>
      <c r="I18" s="852">
        <f>SUBTOTAL(9,I14:I17)</f>
        <v>1128</v>
      </c>
      <c r="J18" s="853">
        <f>IF(ISNUMBER(I18/B18),I18/B18," - ")</f>
        <v>225.6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3481</v>
      </c>
      <c r="D19" s="798" t="str">
        <f>IF(ISNUMBER(C19/Datos!BI19),C19/Datos!BI19," - ")</f>
        <v xml:space="preserve"> - </v>
      </c>
      <c r="E19" s="797">
        <f>SUBTOTAL(9,E9:E18)</f>
        <v>2529</v>
      </c>
      <c r="F19" s="798">
        <f>IF(ISNUMBER(E19/B19),E19/B19," - ")</f>
        <v>505.8</v>
      </c>
      <c r="G19" s="797">
        <f>SUBTOTAL(9,G9:G18)</f>
        <v>2433</v>
      </c>
      <c r="H19" s="798">
        <f>IF(ISNUMBER(G19/B19),G19/B19," - ")</f>
        <v>486.6</v>
      </c>
      <c r="I19" s="797">
        <f>SUBTOTAL(9,I9:I18)</f>
        <v>3481</v>
      </c>
      <c r="J19" s="798">
        <f>IF(ISNUMBER(I19/B19),I19/B19," - ")</f>
        <v>696.2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tIyqzQTGLQWxd+oPnrpralO0xszmIJFx36VZLx3VWXN5UFuRfHk2Yc+5VKRDhocEJshyWyikMdtpWMfEc6C4w==" saltValue="SOQqKYT0e68qhJ+z1Iv6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CACERES  Resumenes por Partidos Judiciales  PLASENCIA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3586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345</v>
      </c>
      <c r="AM12" s="693">
        <f>IF(ISNUMBER(Datos!N12+DatosP!N16),Datos!N12+DatosP!N16," - ")</f>
        <v>526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5.667202572347267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-4.9814520402755698E-2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232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420</v>
      </c>
      <c r="AE13" s="942">
        <f t="shared" si="1"/>
        <v>0</v>
      </c>
      <c r="AF13" s="942">
        <f t="shared" si="1"/>
        <v>3</v>
      </c>
      <c r="AG13" s="942">
        <f t="shared" si="1"/>
        <v>0</v>
      </c>
      <c r="AH13" s="942">
        <f t="shared" si="1"/>
        <v>3586</v>
      </c>
      <c r="AI13" s="942">
        <f t="shared" si="1"/>
        <v>0</v>
      </c>
      <c r="AJ13" s="942">
        <f t="shared" si="1"/>
        <v>0</v>
      </c>
      <c r="AK13" s="942">
        <f t="shared" si="1"/>
        <v>0</v>
      </c>
      <c r="AL13" s="942">
        <f t="shared" si="1"/>
        <v>345</v>
      </c>
      <c r="AM13" s="942">
        <f t="shared" si="1"/>
        <v>526</v>
      </c>
      <c r="AN13" s="942">
        <f t="shared" si="1"/>
        <v>0</v>
      </c>
      <c r="AO13" s="942">
        <f t="shared" si="1"/>
        <v>0</v>
      </c>
      <c r="AP13" s="947">
        <f>IF(ISNUMBER(((Datos!L13/Datos!K13)*11)/factor_trimestre),((Datos!L13/Datos!K13)*11)/factor_trimestre," - ")</f>
        <v>6.1914893617021285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-4.9814520402755698E-2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2.8460891505466783</v>
      </c>
      <c r="AQ18" s="947">
        <f>IF(ISNUMBER(((Datos!M18/Datos!L18)*11)/factor_trimestre),((Datos!M18/Datos!L18)*11)/factor_trimestre," - ")</f>
        <v>0.38829787234042556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-3.2520325203252036E-2</v>
      </c>
      <c r="AW18" s="949">
        <f>IF(ISNUMBER((Datos!Q18-Datos!R18)/(Datos!S18-Datos!Q18+Datos!R18)),(Datos!Q18-Datos!R18)/(Datos!S18-Datos!Q18+Datos!R18)," - ")</f>
        <v>-8.8607594936708861E-2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232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420</v>
      </c>
      <c r="AE19" s="960">
        <f t="shared" si="5"/>
        <v>0</v>
      </c>
      <c r="AF19" s="961">
        <f t="shared" si="5"/>
        <v>3</v>
      </c>
      <c r="AG19" s="961">
        <f t="shared" si="5"/>
        <v>0</v>
      </c>
      <c r="AH19" s="961">
        <f t="shared" si="5"/>
        <v>3586</v>
      </c>
      <c r="AI19" s="961">
        <f t="shared" si="5"/>
        <v>0</v>
      </c>
      <c r="AJ19" s="962">
        <f t="shared" si="5"/>
        <v>0</v>
      </c>
      <c r="AK19" s="962">
        <f t="shared" si="5"/>
        <v>0</v>
      </c>
      <c r="AL19" s="954">
        <f t="shared" si="5"/>
        <v>345</v>
      </c>
      <c r="AM19" s="954">
        <f t="shared" si="5"/>
        <v>526</v>
      </c>
      <c r="AN19" s="954">
        <f t="shared" si="5"/>
        <v>0</v>
      </c>
      <c r="AO19" s="954">
        <f t="shared" si="5"/>
        <v>0</v>
      </c>
      <c r="AP19" s="954">
        <f>IF(ISNUMBER(((Datos!L19/Datos!K19)*11)/factor_trimestre),((Datos!L19/Datos!K19)*11)/factor_trimestre," - ")</f>
        <v>4.4392070484581501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-4.919292851652575E-2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199.18584287042088</v>
      </c>
      <c r="AM21" s="739"/>
      <c r="AN21" s="739">
        <f>IF(ISNUMBER(STDEV(AN8:AN18)),STDEV(AN8:AN18),"-")</f>
        <v>0</v>
      </c>
      <c r="AO21" s="745">
        <f>IF(ISNUMBER(STDEV(AO8:AO18)),STDEV(AO8:AO18),"-")</f>
        <v>0</v>
      </c>
      <c r="AP21" s="782">
        <f>IF(ISNUMBER(STDEV(AP8:AP18)),STDEV(AP8:AP18),"-")</f>
        <v>1.7993174700866619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LSs2x8maUCfPz5EA/90QWhgelHDTm2E6UU4QhAG/wE8nTK2CVXqZu0f6EoHKgTg+d2VYtI05uD3mTqBVHM93A==" saltValue="h6oO429YCW69zCHiZ/o7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CACERES</v>
      </c>
      <c r="C3" s="418"/>
      <c r="F3" s="378"/>
      <c r="G3" s="378"/>
      <c r="H3" s="378"/>
    </row>
    <row r="4" spans="1:15" ht="13.5" thickBot="1">
      <c r="A4" s="378"/>
      <c r="B4" s="394" t="str">
        <f>Criterios!A11 &amp;"  "&amp;Criterios!B11</f>
        <v>Resumenes por Partidos Judiciales  PLASENCIA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2GM/+s4/Ed3gm/bMtBtgGrcXni3CR2c4birmTLOC95ORMO1vVhVnZHKzzOYsP8AcRouIn80gOgmOFcDZQIXdbA==" saltValue="n1dUnZdFqOMGWlFRVwKd+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CACERES</v>
      </c>
      <c r="C3" s="394"/>
      <c r="D3" s="428"/>
    </row>
    <row r="4" spans="1:9" ht="13.5" thickBot="1">
      <c r="B4" s="394" t="str">
        <f>Criterios!A11 &amp;"  "&amp;Criterios!B11</f>
        <v>Resumenes por Partidos Judiciales  PLASENCIA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345</v>
      </c>
      <c r="E12" s="407">
        <f t="shared" si="0"/>
        <v>69</v>
      </c>
      <c r="F12" s="406">
        <f>IF(ISNUMBER(Datos!N12),Datos!N12," - ")</f>
        <v>526</v>
      </c>
      <c r="G12" s="407">
        <f t="shared" si="1"/>
        <v>105.2</v>
      </c>
      <c r="H12" s="406">
        <f>IF(ISNUMBER(Datos!O12),Datos!O12," - ")</f>
        <v>537</v>
      </c>
      <c r="I12" s="407">
        <f t="shared" si="2"/>
        <v>107.4</v>
      </c>
    </row>
    <row r="13" spans="1:9" ht="14.25" thickTop="1" thickBot="1">
      <c r="A13" s="851" t="str">
        <f>Datos!A13</f>
        <v>TOTAL</v>
      </c>
      <c r="B13" s="852">
        <f>Datos!AO13</f>
        <v>6</v>
      </c>
      <c r="C13" s="854">
        <f>Datos!AR13</f>
        <v>5</v>
      </c>
      <c r="D13" s="852">
        <f>SUBTOTAL(9,D9:D12)</f>
        <v>345</v>
      </c>
      <c r="E13" s="853">
        <f t="shared" si="0"/>
        <v>57.5</v>
      </c>
      <c r="F13" s="852">
        <f>SUBTOTAL(9,F9:F12)</f>
        <v>526</v>
      </c>
      <c r="G13" s="853">
        <f t="shared" si="1"/>
        <v>87.666666666666671</v>
      </c>
      <c r="H13" s="852">
        <f>SUBTOTAL(9,H9:H12)</f>
        <v>537</v>
      </c>
      <c r="I13" s="853">
        <f>IF(ISNUMBER(H13/B13),H13/B13," - ")</f>
        <v>89.5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146</v>
      </c>
      <c r="E16" s="407">
        <f t="shared" si="3"/>
        <v>29.2</v>
      </c>
      <c r="F16" s="406">
        <f>IF(ISNUMBER(Datos!N16),Datos!N16," - ")</f>
        <v>707</v>
      </c>
      <c r="G16" s="407">
        <f t="shared" si="4"/>
        <v>141.4</v>
      </c>
      <c r="H16" s="406">
        <f>IF(ISNUMBER(Datos!O16),Datos!O16," - ")</f>
        <v>16</v>
      </c>
      <c r="I16" s="407">
        <f t="shared" si="5"/>
        <v>3.2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0</v>
      </c>
      <c r="G17" s="407">
        <f>IF(ISNUMBER(F17/B17),F17/B17," - ")</f>
        <v>0</v>
      </c>
      <c r="H17" s="406">
        <f>IF(ISNUMBER(Datos!O17),Datos!O17," - ")</f>
        <v>0</v>
      </c>
      <c r="I17" s="407">
        <f t="shared" si="5"/>
        <v>0</v>
      </c>
    </row>
    <row r="18" spans="1:9" ht="14.25" thickTop="1" thickBot="1">
      <c r="A18" s="851" t="str">
        <f>Datos!A18</f>
        <v>TOTAL</v>
      </c>
      <c r="B18" s="852">
        <f>Datos!AO18</f>
        <v>6</v>
      </c>
      <c r="C18" s="854">
        <f>Datos!AR18</f>
        <v>5</v>
      </c>
      <c r="D18" s="852">
        <f>SUBTOTAL(9,D15:D17)</f>
        <v>146</v>
      </c>
      <c r="E18" s="853">
        <f t="shared" si="3"/>
        <v>24.333333333333332</v>
      </c>
      <c r="F18" s="852">
        <f>SUBTOTAL(9,F15:F17)</f>
        <v>707</v>
      </c>
      <c r="G18" s="853">
        <f t="shared" si="4"/>
        <v>117.83333333333333</v>
      </c>
      <c r="H18" s="852">
        <f>SUBTOTAL(9,H15:H17)</f>
        <v>16</v>
      </c>
      <c r="I18" s="853">
        <f>IF(ISNUMBER(H18/B18),H18/B18," - ")</f>
        <v>2.6666666666666665</v>
      </c>
    </row>
    <row r="19" spans="1:9" ht="14.25" thickTop="1" thickBot="1">
      <c r="A19" s="796" t="str">
        <f>Datos!A19</f>
        <v>TOTAL JURISDICCIONES</v>
      </c>
      <c r="B19" s="797">
        <f>Datos!AP19</f>
        <v>5</v>
      </c>
      <c r="C19" s="797">
        <f>Datos!AR19</f>
        <v>5</v>
      </c>
      <c r="D19" s="797">
        <f>SUBTOTAL(9,D8:D18)</f>
        <v>491</v>
      </c>
      <c r="E19" s="798">
        <f>IF(ISNUMBER(D19/B19),D19/B19," - ")</f>
        <v>98.2</v>
      </c>
      <c r="F19" s="797">
        <f>SUBTOTAL(9,F8:F18)</f>
        <v>1233</v>
      </c>
      <c r="G19" s="798">
        <f>IF(ISNUMBER(F19/B19),F19/B19," - ")</f>
        <v>246.6</v>
      </c>
      <c r="H19" s="797">
        <f>SUBTOTAL(9,H8:H18)</f>
        <v>553</v>
      </c>
      <c r="I19" s="798">
        <f>IF(ISNUMBER(H19/B19),H19/B19," - ")</f>
        <v>110.6</v>
      </c>
    </row>
    <row r="22" spans="1:9">
      <c r="A22" s="394" t="str">
        <f>Criterios!A4</f>
        <v>Fecha Informe: 07 mar. 2024</v>
      </c>
    </row>
    <row r="27" spans="1:9">
      <c r="A27" s="417"/>
    </row>
  </sheetData>
  <sheetProtection algorithmName="SHA-512" hashValue="zBWY0fVLXsledJKbsYRRaxK1yv5GggSXd3g+cwzMGtVqUqBHtwvFxfQ5dTCkK5i2yEC+pIgYwNM/ZhsNDmktsA==" saltValue="qGqMhtZFO4pt1rAPlmJb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CACERES</v>
      </c>
    </row>
    <row r="4" spans="1:4" ht="13.5" thickBot="1">
      <c r="B4" s="394" t="str">
        <f>Criterios!A11 &amp;"  "&amp;Criterios!B11</f>
        <v>Resumenes por Partidos Judiciales  PLASENCIA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232</v>
      </c>
      <c r="C12" s="437">
        <f>IF(ISNUMBER(Datos!Q12),Datos!Q12," - ")</f>
        <v>420</v>
      </c>
      <c r="D12" s="411">
        <f>IF(ISNUMBER(Datos!R12),Datos!R12," - ")</f>
        <v>3586</v>
      </c>
    </row>
    <row r="13" spans="1:4" ht="14.25" thickTop="1" thickBot="1">
      <c r="A13" s="851" t="str">
        <f>Datos!A13</f>
        <v>TOTAL</v>
      </c>
      <c r="B13" s="852">
        <f>SUBTOTAL(9,B9:B12)</f>
        <v>232</v>
      </c>
      <c r="C13" s="856">
        <f>SUBTOTAL(9,C9:C12)</f>
        <v>420</v>
      </c>
      <c r="D13" s="854">
        <f>SUBTOTAL(9,D9:D12)</f>
        <v>3592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38</v>
      </c>
      <c r="C16" s="437">
        <f>IF(ISNUMBER(Datos!Q16),Datos!Q16," - ")</f>
        <v>42</v>
      </c>
      <c r="D16" s="411">
        <f>IF(ISNUMBER(Datos!R16),Datos!R16," - ")</f>
        <v>119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38</v>
      </c>
      <c r="C18" s="856">
        <f>SUBTOTAL(9,C15:C17)</f>
        <v>42</v>
      </c>
      <c r="D18" s="854">
        <f>SUBTOTAL(9,D15:D17)</f>
        <v>119</v>
      </c>
    </row>
    <row r="19" spans="1:4" ht="16.5" customHeight="1" thickTop="1" thickBot="1">
      <c r="A19" s="796" t="str">
        <f>Datos!A19</f>
        <v>TOTAL JURISDICCIONES</v>
      </c>
      <c r="B19" s="801">
        <f>SUBTOTAL(9,B8:B18)</f>
        <v>270</v>
      </c>
      <c r="C19" s="802">
        <f>SUBTOTAL(9,C8:C18)</f>
        <v>462</v>
      </c>
      <c r="D19" s="803">
        <f>SUBTOTAL(9,D8:D18)</f>
        <v>3711</v>
      </c>
    </row>
    <row r="20" spans="1:4" ht="7.5" customHeight="1"/>
    <row r="21" spans="1:4" ht="6" customHeight="1"/>
    <row r="22" spans="1:4">
      <c r="A22" s="394" t="str">
        <f>Criterios!A4</f>
        <v>Fecha Informe: 07 mar. 2024</v>
      </c>
    </row>
    <row r="27" spans="1:4">
      <c r="A27" s="417"/>
    </row>
  </sheetData>
  <sheetProtection algorithmName="SHA-512" hashValue="vuIOjtq1lFYaVi+c6ZXC5x0VWqAHk/FbBxpLHrjhvDRhL9RDrIDM4m0p7VZGc60vb5dq6cqWJPzp/8GcZ1FzoQ==" saltValue="/Z+VIvr1ZGGZSIUOt/nx5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CACERES</v>
      </c>
    </row>
    <row r="4" spans="1:11" ht="10.5" customHeight="1" thickBot="1">
      <c r="B4" s="394" t="str">
        <f>Criterios!A11 &amp;"  "&amp;Criterios!B11</f>
        <v>Resumenes por Partidos Judiciales  PLASENCIA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-0.85</v>
      </c>
      <c r="C10" s="459">
        <f>IF(ISNUMBER((Datos!J10-Datos!T10)/Datos!T10),(Datos!J10-Datos!T10)/Datos!T10," - ")</f>
        <v>-1</v>
      </c>
      <c r="D10" s="459">
        <f>IF(ISNUMBER((Datos!K10-Datos!U10)/Datos!U10),(Datos!K10-Datos!U10)/Datos!U10," - ")</f>
        <v>-1</v>
      </c>
      <c r="E10" s="459">
        <f>IF(ISNUMBER((Datos!L10-Datos!V10)/Datos!V10),(Datos!L10-Datos!V10)/Datos!V10," - ")</f>
        <v>-0.90322580645161288</v>
      </c>
      <c r="F10" s="459">
        <f>IF(ISNUMBER((Datos!M10-Datos!W10)/Datos!W10),(Datos!M10-Datos!W10)/Datos!W10," - ")</f>
        <v>-1</v>
      </c>
      <c r="G10" s="460">
        <f>IF(ISNUMBER((Datos!N10-Datos!X10)/Datos!X10),(Datos!N10-Datos!X10)/Datos!X10," - ")</f>
        <v>-1</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0.91269199676637025</v>
      </c>
      <c r="C12" s="459">
        <f>IF(ISNUMBER(
   IF(J_V="SI",(Datos!J12-Datos!T12)/Datos!T12,(Datos!J12+Datos!Z12-(Datos!T12+Datos!AH12))/(Datos!T12+Datos!AH12))
     ),IF(J_V="SI",(Datos!J12-Datos!T12)/Datos!T12,(Datos!J12+Datos!Z12-(Datos!T12+Datos!AH12))/(Datos!T12+Datos!AH12))," - ")</f>
        <v>0.1797752808988764</v>
      </c>
      <c r="D12" s="459">
        <f>IF(ISNUMBER(
   IF(J_V="SI",(Datos!K12-Datos!U12)/Datos!U12,(Datos!K12+Datos!AA12-(Datos!U12+Datos!AI12))/(Datos!U12+Datos!AI12))
     ),IF(J_V="SI",(Datos!K12-Datos!U12)/Datos!U12,(Datos!K12+Datos!AA12-(Datos!U12+Datos!AI12))/(Datos!U12+Datos!AI12))," - ")</f>
        <v>0.28247422680412371</v>
      </c>
      <c r="E12" s="459">
        <f>IF(ISNUMBER(
   IF(J_V="SI",(Datos!L12-Datos!V12)/Datos!V12,(Datos!L12+Datos!AB12-(Datos!V12+Datos!AJ12))/(Datos!V12+Datos!AJ12))
     ),IF(J_V="SI",(Datos!L12-Datos!V12)/Datos!V12,(Datos!L12+Datos!AB12-(Datos!V12+Datos!AJ12))/(Datos!V12+Datos!AJ12))," - ")</f>
        <v>0.76029962546816476</v>
      </c>
      <c r="F12" s="459">
        <f>IF(ISNUMBER((Datos!M12-Datos!W12)/Datos!W12),(Datos!M12-Datos!W12)/Datos!W12," - ")</f>
        <v>0.40816326530612246</v>
      </c>
      <c r="G12" s="460">
        <f>IF(ISNUMBER((Datos!N12-Datos!X12)/Datos!X12),(Datos!N12-Datos!X12)/Datos!X12," - ")</f>
        <v>8.4536082474226809E-2</v>
      </c>
      <c r="H12" s="458">
        <f>IF(ISNUMBER(((NºAsuntos!G12/NºAsuntos!E12)-Datos!BD12)/Datos!BD12),((NºAsuntos!G12/NºAsuntos!E12)-Datos!BD12)/Datos!BD12," - ")</f>
        <v>8.7049582719685867E-2</v>
      </c>
      <c r="I12" s="459">
        <f>IF(ISNUMBER(((NºAsuntos!I12/NºAsuntos!G12)-Datos!BE12)/Datos!BE12),((NºAsuntos!I12/NºAsuntos!G12)-Datos!BE12)/Datos!BE12," - ")</f>
        <v>0.37258089767212216</v>
      </c>
      <c r="J12" s="464">
        <f>IF(ISNUMBER((('Resol  Asuntos'!D12/NºAsuntos!G12)-Datos!BF12)/Datos!BF12),(('Resol  Asuntos'!D12/NºAsuntos!G12)-Datos!BF12)/Datos!BF12," - ")</f>
        <v>-0.44533762057877813</v>
      </c>
      <c r="K12" s="465">
        <f>IF(ISNUMBER((((NºAsuntos!C12+NºAsuntos!E12)/NºAsuntos!G12)-Datos!BG12)/Datos!BG12),(((NºAsuntos!C12+NºAsuntos!E12)/NºAsuntos!G12)-Datos!BG12)/Datos!BG12," - ")</f>
        <v>0.22661486632582603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0.88464598249801119</v>
      </c>
      <c r="C13" s="858">
        <f>IF(ISNUMBER(
   IF(J_V="SI",(Datos!J13-Datos!T13)/Datos!T13,(Datos!J13+Datos!Z13-(Datos!T13+Datos!AH13))/(Datos!T13+Datos!AH13))
     ),IF(J_V="SI",(Datos!J13-Datos!T13)/Datos!T13,(Datos!J13+Datos!Z13-(Datos!T13+Datos!AH13))/(Datos!T13+Datos!AH13))," - ")</f>
        <v>0.15279048490393413</v>
      </c>
      <c r="D13" s="858">
        <f>IF(ISNUMBER(
   IF(J_V="SI",(Datos!K13-Datos!U13)/Datos!U13,(Datos!K13+Datos!AA13-(Datos!U13+Datos!AI13))/(Datos!U13+Datos!AI13))
     ),IF(J_V="SI",(Datos!K13-Datos!U13)/Datos!U13,(Datos!K13+Datos!AA13-(Datos!U13+Datos!AI13))/(Datos!U13+Datos!AI13))," - ")</f>
        <v>0.26422764227642276</v>
      </c>
      <c r="E13" s="858">
        <f>IF(ISNUMBER(
   IF(J_V="SI",(Datos!L13-Datos!V13)/Datos!V13,(Datos!L13+Datos!AB13-(Datos!V13+Datos!AJ13))/(Datos!V13+Datos!AJ13))
     ),IF(J_V="SI",(Datos!L13-Datos!V13)/Datos!V13,(Datos!L13+Datos!AB13-(Datos!V13+Datos!AJ13))/(Datos!V13+Datos!AJ13))," - ")</f>
        <v>0.7225475841874085</v>
      </c>
      <c r="F13" s="859">
        <f>IF(ISNUMBER((Datos!M13-Datos!W13)/Datos!W13),(Datos!M13-Datos!W13)/Datos!W13," - ")</f>
        <v>0.36904761904761907</v>
      </c>
      <c r="G13" s="860">
        <f>IF(ISNUMBER((Datos!N13-Datos!X13)/Datos!X13),(Datos!N13-Datos!X13)/Datos!X13," - ")</f>
        <v>7.7868852459016397E-2</v>
      </c>
      <c r="H13" s="860">
        <f>IF(ISNUMBER(((NºAsuntos!G13/NºAsuntos!E13)-Datos!BD13)/Datos!BD13),((NºAsuntos!G13/NºAsuntos!E13)-Datos!BD13)/Datos!BD13," - ")</f>
        <v>9.6667311911214346E-2</v>
      </c>
      <c r="I13" s="860">
        <f>IF(ISNUMBER(((NºAsuntos!I13/NºAsuntos!G13)-Datos!BE13)/Datos!BE13),((NºAsuntos!I13/NºAsuntos!G13)-Datos!BE13)/Datos!BE13," - ")</f>
        <v>0.36252960035402726</v>
      </c>
      <c r="J13" s="860">
        <f>IF(ISNUMBER((('Resol  Asuntos'!D13/NºAsuntos!G13)-Datos!BF13)/Datos!BF13),(('Resol  Asuntos'!D13/NºAsuntos!G13)-Datos!BF13)/Datos!BF13," - ")</f>
        <v>-0.44533762057877813</v>
      </c>
      <c r="K13" s="860">
        <f>IF(ISNUMBER((((NºAsuntos!C13+NºAsuntos!E13)/NºAsuntos!G13)-Datos!BG13)/Datos!BG13),(((NºAsuntos!C13+NºAsuntos!E13)/NºAsuntos!G13)-Datos!BG13)/Datos!BG13," - ")</f>
        <v>0.22150099199562159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0.58115942028985512</v>
      </c>
      <c r="C16" s="459">
        <f>IF(ISNUMBER(
   IF(D_I="SI",(Datos!J16-Datos!T16)/Datos!T16,(Datos!J16+Datos!AD16-(Datos!T16+Datos!AL16))/(Datos!T16+Datos!AL16))
     ),IF(D_I="SI",(Datos!J16-Datos!T16)/Datos!T16,(Datos!J16+Datos!AD16-(Datos!T16+Datos!AL16))/(Datos!T16+Datos!AL16))," - ")</f>
        <v>0.23684210526315788</v>
      </c>
      <c r="D16" s="459">
        <f>IF(ISNUMBER(
   IF(D_I="SI",(Datos!K16-Datos!U16)/Datos!U16,(Datos!K16+Datos!AE16-(Datos!U16+Datos!AM16))/(Datos!U16+Datos!AM16))
     ),IF(D_I="SI",(Datos!K16-Datos!U16)/Datos!U16,(Datos!K16+Datos!AE16-(Datos!U16+Datos!AM16))/(Datos!U16+Datos!AM16))," - ")</f>
        <v>0.2016210739614995</v>
      </c>
      <c r="E16" s="459">
        <f>IF(ISNUMBER(
   IF(D_I="SI",(Datos!L16-Datos!V16)/Datos!V16,(Datos!L16+Datos!AF16-(Datos!V16+Datos!AN16))/(Datos!V16+Datos!AN16))
     ),IF(D_I="SI",(Datos!L16-Datos!V16)/Datos!V16,(Datos!L16+Datos!AF16-(Datos!V16+Datos!AN16))/(Datos!V16+Datos!AN16))," - ")</f>
        <v>0.51020408163265307</v>
      </c>
      <c r="F16" s="459">
        <f>IF(ISNUMBER((Datos!M16-Datos!W16)/Datos!W16),(Datos!M16-Datos!W16)/Datos!W16," - ")</f>
        <v>-2.6666666666666668E-2</v>
      </c>
      <c r="G16" s="460">
        <f>IF(ISNUMBER((Datos!N16-Datos!X16)/Datos!X16),(Datos!N16-Datos!X16)/Datos!X16," - ")</f>
        <v>0.3622350674373796</v>
      </c>
      <c r="H16" s="458">
        <f>IF(ISNUMBER(((NºAsuntos!G16/NºAsuntos!E16)-Datos!BD16)/Datos!BD16),((NºAsuntos!G16/NºAsuntos!E16)-Datos!BD16)/Datos!BD16," - ")</f>
        <v>-2.8476578499213187E-2</v>
      </c>
      <c r="I16" s="459">
        <f>IF(ISNUMBER(((NºAsuntos!I16/NºAsuntos!G16)-Datos!BE16)/Datos!BE16),((NºAsuntos!I16/NºAsuntos!G16)-Datos!BE16)/Datos!BE16," - ")</f>
        <v>0.25680558901469536</v>
      </c>
      <c r="J16" s="464">
        <f>IF(ISNUMBER((('Resol  Asuntos'!D16/NºAsuntos!G16)-Datos!BF16)/Datos!BF16),(('Resol  Asuntos'!D16/NºAsuntos!G16)-Datos!BF16)/Datos!BF16," - ")</f>
        <v>-0.18998313659359184</v>
      </c>
      <c r="K16" s="465">
        <f>IF(ISNUMBER((((NºAsuntos!C16+NºAsuntos!E16)/NºAsuntos!G16)-Datos!BG16)/Datos!BG16),(((NºAsuntos!C16+NºAsuntos!E16)/NºAsuntos!G16)-Datos!BG16)/Datos!BG16," - ")</f>
        <v>0.14453000625007373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-0.79411764705882348</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-0.97637795275590555</v>
      </c>
      <c r="E17" s="459">
        <f>IF(ISNUMBER(
   IF(D_I="SI",(Datos!L17-Datos!V17)/Datos!V17,(Datos!L17+Datos!AF17-(Datos!V17+Datos!AN17))/(Datos!V17+Datos!AN17))
     ),IF(D_I="SI",(Datos!L17-Datos!V17)/Datos!V17,(Datos!L17+Datos!AF17-(Datos!V17+Datos!AN17))/(Datos!V17+Datos!AN17))," - ")</f>
        <v>-0.77500000000000002</v>
      </c>
      <c r="F17" s="459">
        <f>IF(ISNUMBER((Datos!M17-Datos!W17)/Datos!W17),(Datos!M17-Datos!W17)/Datos!W17," - ")</f>
        <v>-1</v>
      </c>
      <c r="G17" s="460">
        <f>IF(ISNUMBER((Datos!N17-Datos!X17)/Datos!X17),(Datos!N17-Datos!X17)/Datos!X17," - ")</f>
        <v>-1</v>
      </c>
      <c r="H17" s="458" t="str">
        <f>IF(ISNUMBER(((NºAsuntos!G17/NºAsuntos!E17)-Datos!BD17)/Datos!BD17),((NºAsuntos!G17/NºAsuntos!E17)-Datos!BD17)/Datos!BD17," - ")</f>
        <v xml:space="preserve"> - </v>
      </c>
      <c r="I17" s="459">
        <f>IF(ISNUMBER(((NºAsuntos!I17/NºAsuntos!G17)-Datos!BE17)/Datos!BE17),((NºAsuntos!I17/NºAsuntos!G17)-Datos!BE17)/Datos!BE17," - ")</f>
        <v>8.5250000000000004</v>
      </c>
      <c r="J17" s="464">
        <f>IF(ISNUMBER((('Resol  Asuntos'!D17/NºAsuntos!G17)-Datos!BF17)/Datos!BF17),(('Resol  Asuntos'!D17/NºAsuntos!G17)-Datos!BF17)/Datos!BF17," - ")</f>
        <v>-1</v>
      </c>
      <c r="K17" s="465">
        <f>IF(ISNUMBER((((NºAsuntos!C17+NºAsuntos!E17)/NºAsuntos!G17)-Datos!BG17)/Datos!BG17),(((NºAsuntos!C17+NºAsuntos!E17)/NºAsuntos!G17)-Datos!BG17)/Datos!BG17," - ")</f>
        <v>3.2946859903381642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0.40404040404040403</v>
      </c>
      <c r="C18" s="858">
        <f>IF(ISNUMBER(
   IF(Criterios!B14="SI",(Datos!J18-Datos!T18)/Datos!T18,(Datos!J18+Datos!AD18-(Datos!T18+Datos!AL18))/(Datos!T18+Datos!AL18))
     ),IF(Criterios!B14="SI",(Datos!J18-Datos!T18)/Datos!T18,(Datos!J18+Datos!AD18-(Datos!T18+Datos!AL18))/(Datos!T18+Datos!AL18))," - ")</f>
        <v>0.1220159151193634</v>
      </c>
      <c r="D18" s="858">
        <f>IF(ISNUMBER(
   IF(Criterios!B14="SI",(Datos!K18-Datos!U18)/Datos!U18,(Datos!K18+Datos!AE18-(Datos!U18+Datos!AM18))/(Datos!U18+Datos!AM18))
     ),IF(Criterios!B14="SI",(Datos!K18-Datos!U18)/Datos!U18,(Datos!K18+Datos!AE18-(Datos!U18+Datos!AM18))/(Datos!U18+Datos!AM18))," - ")</f>
        <v>6.7324955116696589E-2</v>
      </c>
      <c r="E18" s="858">
        <f>IF(ISNUMBER(
   IF(Criterios!B14="SI",(Datos!L18-Datos!V18)/Datos!V18,(Datos!L18+Datos!AF18-(Datos!V18+Datos!AN18))/(Datos!V18+Datos!AN18))
     ),IF(Criterios!B14="SI",(Datos!L18-Datos!V18)/Datos!V18,(Datos!L18+Datos!AF18-(Datos!V18+Datos!AN18))/(Datos!V18+Datos!AN18))," - ")</f>
        <v>0.38404907975460123</v>
      </c>
      <c r="F18" s="859">
        <f>IF(ISNUMBER((Datos!M18-Datos!W18)/Datos!W18),(Datos!M18-Datos!W18)/Datos!W18," - ")</f>
        <v>-0.11515151515151516</v>
      </c>
      <c r="G18" s="860">
        <f>IF(ISNUMBER((Datos!N18-Datos!X18)/Datos!X18),(Datos!N18-Datos!X18)/Datos!X18," - ")</f>
        <v>0.20648464163822525</v>
      </c>
      <c r="H18" s="860">
        <f>IF(ISNUMBER(((NºAsuntos!G18/NºAsuntos!E18)-Datos!BD18)/Datos!BD18),((NºAsuntos!G18/NºAsuntos!E18)-Datos!BD18)/Datos!BD18," - ")</f>
        <v>-4.8743479718688788E-2</v>
      </c>
      <c r="I18" s="860">
        <f>IF(ISNUMBER(((NºAsuntos!I18/NºAsuntos!G18)-Datos!BE18)/Datos!BE18),((NºAsuntos!I18/NºAsuntos!G18)-Datos!BE18)/Datos!BE18," - ")</f>
        <v>0.29674573157832279</v>
      </c>
      <c r="J18" s="860">
        <f>IF(ISNUMBER((('Resol  Asuntos'!D18/NºAsuntos!G18)-Datos!BF18)/Datos!BF18),(('Resol  Asuntos'!D18/NºAsuntos!G18)-Datos!BF18)/Datos!BF18," - ")</f>
        <v>-0.17096617988123453</v>
      </c>
      <c r="K18" s="860">
        <f>IF(ISNUMBER((((NºAsuntos!C18+NºAsuntos!E18)/NºAsuntos!G18)-Datos!BG18)/Datos!BG18),(((NºAsuntos!C18+NºAsuntos!E18)/NºAsuntos!G18)-Datos!BG18)/Datos!BG18," - ")</f>
        <v>0.16006800070152508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0.69887750122010739</v>
      </c>
      <c r="C19" s="805">
        <f>IF(ISNUMBER(
   IF(J_V="SI",(Datos!J19-Datos!T19)/Datos!T19,(Datos!J19+Datos!Z19-(Datos!T19+Datos!AH19))/(Datos!T19+Datos!AH19))
     ),IF(J_V="SI",(Datos!J19-Datos!T19)/Datos!T19,(Datos!J19+Datos!Z19-(Datos!T19+Datos!AH19))/(Datos!T19+Datos!AH19))," - ")</f>
        <v>0.13714028776978418</v>
      </c>
      <c r="D19" s="805">
        <f>IF(ISNUMBER(
   IF(J_V="SI",(Datos!K19-Datos!U19)/Datos!U19,(Datos!K19+Datos!AA19-(Datos!U19+Datos!AI19))/(Datos!U19+Datos!AI19))
     ),IF(J_V="SI",(Datos!K19-Datos!U19)/Datos!U19,(Datos!K19+Datos!AA19-(Datos!U19+Datos!AI19))/(Datos!U19+Datos!AI19))," - ")</f>
        <v>0.15967588179218303</v>
      </c>
      <c r="E19" s="805">
        <f>IF(ISNUMBER(
   IF(J_V="SI",(Datos!L19-Datos!V19)/Datos!V19,(Datos!L19+Datos!AB19-(Datos!V19+Datos!AJ19))/(Datos!V19+Datos!AJ19))
     ),IF(J_V="SI",(Datos!L19-Datos!V19)/Datos!V19,(Datos!L19+Datos!AB19-(Datos!V19+Datos!AJ19))/(Datos!V19+Datos!AJ19))," - ")</f>
        <v>0.59605685465382852</v>
      </c>
      <c r="F19" s="806">
        <f>IF(ISNUMBER((Datos!M19-Datos!W19)/Datos!W19),(Datos!M19-Datos!W19)/Datos!W19," - ")</f>
        <v>0.17745803357314149</v>
      </c>
      <c r="G19" s="807">
        <f>IF(ISNUMBER((Datos!N19-Datos!X19)/Datos!X19),(Datos!N19-Datos!X19)/Datos!X19," - ")</f>
        <v>0.14804469273743018</v>
      </c>
      <c r="H19" s="808">
        <f>IF(ISNUMBER((Tasas!B19-Datos!BD19)/Datos!BD19),(Tasas!B19-Datos!BD19)/Datos!BD19," - ")</f>
        <v>1.981777821503165E-2</v>
      </c>
      <c r="I19" s="809">
        <f>IF(ISNUMBER((Tasas!C19-Datos!BE19)/Datos!BE19),(Tasas!C19-Datos!BE19)/Datos!BE19," - ")</f>
        <v>0.37629563545570599</v>
      </c>
      <c r="J19" s="810">
        <f>IF(ISNUMBER((Tasas!D19-Datos!BF19)/Datos!BF19),(Tasas!D19-Datos!BF19)/Datos!BF19," - ")</f>
        <v>-0.35556443898926549</v>
      </c>
      <c r="K19" s="810">
        <f>IF(ISNUMBER((Tasas!E19-Datos!BG19)/Datos!BG19),(Tasas!E19-Datos!BG19)/Datos!BG19," - ")</f>
        <v>0.21284402804907065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70kCoCFT0IYkVsfYrLhQEfYoiFnASrHp+ecyW8NexdU759OZOn2l175BcDQggjDYuMTR2nRkYPiWQUUWUbz1Q==" saltValue="k2c+7JL8AXimdrNLfSNq5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CACERES</v>
      </c>
    </row>
    <row r="4" spans="1:7" ht="11.25" customHeight="1" thickBot="1">
      <c r="B4" s="394" t="str">
        <f>Criterios!A11 &amp;"  "&amp;Criterios!B11</f>
        <v>Resumenes por Partidos Judiciales  PLASENCIA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0.98730158730158735</v>
      </c>
      <c r="C12" s="446">
        <f>IF(ISNUMBER(NºAsuntos!I12/NºAsuntos!G12),NºAsuntos!I12/NºAsuntos!G12," - ")</f>
        <v>1.8890675241157557</v>
      </c>
      <c r="D12" s="447">
        <f>IF(ISNUMBER('Resol  Asuntos'!D12/NºAsuntos!G12),'Resol  Asuntos'!D12/NºAsuntos!G12," - ")</f>
        <v>0.27733118971061094</v>
      </c>
      <c r="E12" s="448">
        <f>IF(ISNUMBER((NºAsuntos!C12+NºAsuntos!E12)/NºAsuntos!G12),(NºAsuntos!C12+NºAsuntos!E12)/NºAsuntos!G12," - ")</f>
        <v>2.914790996784566</v>
      </c>
      <c r="G12" s="466"/>
    </row>
    <row r="13" spans="1:7" ht="14.25" thickTop="1" thickBot="1">
      <c r="A13" s="851" t="str">
        <f>Datos!A13</f>
        <v>TOTAL</v>
      </c>
      <c r="B13" s="861">
        <f>IF(ISNUMBER(NºAsuntos!G13/NºAsuntos!E13),NºAsuntos!G13/NºAsuntos!E13," - ")</f>
        <v>0.98730158730158735</v>
      </c>
      <c r="C13" s="862">
        <f>IF(ISNUMBER(NºAsuntos!I13/NºAsuntos!G13),NºAsuntos!I13/NºAsuntos!G13," - ")</f>
        <v>1.8914790996784565</v>
      </c>
      <c r="D13" s="863">
        <f>IF(ISNUMBER('Resol  Asuntos'!D13/NºAsuntos!G13),'Resol  Asuntos'!D13/NºAsuntos!G13," - ")</f>
        <v>0.27733118971061094</v>
      </c>
      <c r="E13" s="864">
        <f>IF(ISNUMBER((NºAsuntos!C13+NºAsuntos!E13)/NºAsuntos!G13),(NºAsuntos!C13+NºAsuntos!E13)/NºAsuntos!G13," - ")</f>
        <v>2.917202572347267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0.93459416863672184</v>
      </c>
      <c r="C16" s="446">
        <f>IF(ISNUMBER(NºAsuntos!I16/NºAsuntos!G16),NºAsuntos!I16/NºAsuntos!G16," - ")</f>
        <v>0.93591905564924116</v>
      </c>
      <c r="D16" s="447">
        <f>IF(ISNUMBER('Resol  Asuntos'!D16/NºAsuntos!G16),'Resol  Asuntos'!D16/NºAsuntos!G16," - ")</f>
        <v>0.12310286677908938</v>
      </c>
      <c r="E16" s="448">
        <f>IF(ISNUMBER((NºAsuntos!C16+NºAsuntos!E16)/NºAsuntos!G16),(NºAsuntos!C16+NºAsuntos!E16)/NºAsuntos!G16," - ")</f>
        <v>1.9898819561551433</v>
      </c>
      <c r="G16" s="466"/>
    </row>
    <row r="17" spans="1:7" ht="13.5" thickBot="1">
      <c r="A17" s="405" t="str">
        <f>Datos!A17</f>
        <v>Jdos. Violencia contra la mujer</v>
      </c>
      <c r="B17" s="445" t="str">
        <f>IF(ISNUMBER(NºAsuntos!G17/NºAsuntos!E17),NºAsuntos!G17/NºAsuntos!E17," - ")</f>
        <v xml:space="preserve"> - </v>
      </c>
      <c r="C17" s="446">
        <f>IF(ISNUMBER(NºAsuntos!I17/NºAsuntos!G17),NºAsuntos!I17/NºAsuntos!G17," - ")</f>
        <v>6</v>
      </c>
      <c r="D17" s="447">
        <f>IF(ISNUMBER('Resol  Asuntos'!D17/NºAsuntos!G17),'Resol  Asuntos'!D17/NºAsuntos!G17," - ")</f>
        <v>0</v>
      </c>
      <c r="E17" s="448">
        <f>IF(ISNUMBER((NºAsuntos!C17+NºAsuntos!E17)/NºAsuntos!G17),(NºAsuntos!C17+NºAsuntos!E17)/NºAsuntos!G17," - ")</f>
        <v>7</v>
      </c>
      <c r="G17" s="466"/>
    </row>
    <row r="18" spans="1:7" ht="14.25" thickTop="1" thickBot="1">
      <c r="A18" s="851" t="str">
        <f>Datos!A18</f>
        <v>TOTAL</v>
      </c>
      <c r="B18" s="861">
        <f>IF(ISNUMBER(NºAsuntos!G18/NºAsuntos!E18),NºAsuntos!G18/NºAsuntos!E18," - ")</f>
        <v>0.93695823483057528</v>
      </c>
      <c r="C18" s="862">
        <f>IF(ISNUMBER(NºAsuntos!I18/NºAsuntos!G18),NºAsuntos!I18/NºAsuntos!G18," - ")</f>
        <v>0.94869638351555929</v>
      </c>
      <c r="D18" s="865">
        <f>IF(ISNUMBER('Resol  Asuntos'!D18/NºAsuntos!G18),'Resol  Asuntos'!D18/NºAsuntos!G18," - ")</f>
        <v>0.12279226240538267</v>
      </c>
      <c r="E18" s="864">
        <f>IF(ISNUMBER((NºAsuntos!C18+NºAsuntos!E18)/NºAsuntos!G18),(NºAsuntos!C18+NºAsuntos!E18)/NºAsuntos!G18," - ")</f>
        <v>2.0025231286795626</v>
      </c>
      <c r="G18" s="466"/>
    </row>
    <row r="19" spans="1:7" ht="15.75" customHeight="1" thickTop="1" thickBot="1">
      <c r="A19" s="796" t="str">
        <f>Datos!A19</f>
        <v>TOTAL JURISDICCIONES</v>
      </c>
      <c r="B19" s="811">
        <f>IF(ISNUMBER(NºAsuntos!G19/NºAsuntos!E19),NºAsuntos!G19/NºAsuntos!E19," - ")</f>
        <v>0.96204033214709372</v>
      </c>
      <c r="C19" s="812">
        <f>IF(ISNUMBER(NºAsuntos!I19/NºAsuntos!G19),NºAsuntos!I19/NºAsuntos!G19," - ")</f>
        <v>1.4307439375256885</v>
      </c>
      <c r="D19" s="813">
        <f>IF(ISNUMBER('Resol  Asuntos'!D19/NºAsuntos!G19),'Resol  Asuntos'!D19/NºAsuntos!G19," - ")</f>
        <v>0.20180846691327578</v>
      </c>
      <c r="E19" s="814">
        <f>IF(ISNUMBER((NºAsuntos!C19+NºAsuntos!E19)/NºAsuntos!G19),(NºAsuntos!C19+NºAsuntos!E19)/NºAsuntos!G19," - ")</f>
        <v>2.4702013974517056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bqMQaQ3bUoKIrSQS3iuMLvx1dMhIRzLwPiHpO6jwBlWlxtlV9cbbdCDRp0tMEjGG8we8Rx8uQ+KwK2Um7ADXEA==" saltValue="OE6KK2mQ4abDmng09zc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CACERES</v>
      </c>
      <c r="N2" s="265" t="str">
        <f>Criterios!A11 &amp;"  "&amp;Criterios!B11</f>
        <v>Resumenes por Partidos Judiciales  PLASENCIA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3</v>
      </c>
      <c r="AB10" s="337">
        <f>IF(ISNUMBER(Datos!R10),Datos!R10," - ")</f>
        <v>6</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420</v>
      </c>
      <c r="Y12" s="337">
        <f t="shared" si="0"/>
        <v>420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3586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345</v>
      </c>
      <c r="AJ12" s="232" t="str">
        <f>IF(ISNUMBER(Datos!BW12),Datos!BW12," - ")</f>
        <v xml:space="preserve"> - </v>
      </c>
      <c r="AK12" s="231" t="str">
        <f>IF(ISNUMBER(Datos!BX12),Datos!BX12," - ")</f>
        <v xml:space="preserve"> - </v>
      </c>
      <c r="AL12" s="246">
        <f>IF(ISNUMBER(NºAsuntos!G12/NºAsuntos!E12),NºAsuntos!G12/NºAsuntos!E12," - ")</f>
        <v>0.98730158730158735</v>
      </c>
      <c r="AM12" s="263">
        <f>IF(ISNUMBER(((NºAsuntos!I12/NºAsuntos!G12)*11)/factor_trimestre),((NºAsuntos!I12/NºAsuntos!G12)*11)/factor_trimestre," - ")</f>
        <v>5.667202572347267</v>
      </c>
      <c r="AN12" s="247">
        <f>IF(ISNUMBER('Resol  Asuntos'!D12/NºAsuntos!G12),'Resol  Asuntos'!D12/NºAsuntos!G12," - ")</f>
        <v>0.27733118971061094</v>
      </c>
      <c r="AO12" s="248">
        <f>IF(ISNUMBER((NºAsuntos!C12+NºAsuntos!E12)/NºAsuntos!G12),(NºAsuntos!C12+NºAsuntos!E12)/NºAsuntos!G12," - ")</f>
        <v>2.914790996784566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3</v>
      </c>
      <c r="G13" s="869">
        <f t="shared" si="3"/>
        <v>3</v>
      </c>
      <c r="H13" s="868">
        <f t="shared" si="3"/>
        <v>0</v>
      </c>
      <c r="I13" s="870">
        <f t="shared" si="3"/>
        <v>0</v>
      </c>
      <c r="J13" s="870">
        <f t="shared" si="3"/>
        <v>0</v>
      </c>
      <c r="K13" s="870">
        <f t="shared" si="3"/>
        <v>0</v>
      </c>
      <c r="L13" s="870">
        <f t="shared" si="3"/>
        <v>232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420</v>
      </c>
      <c r="Y13" s="871">
        <f t="shared" si="4"/>
        <v>420</v>
      </c>
      <c r="Z13" s="871">
        <f t="shared" si="4"/>
        <v>0</v>
      </c>
      <c r="AA13" s="871">
        <f t="shared" si="4"/>
        <v>3</v>
      </c>
      <c r="AB13" s="871">
        <f t="shared" si="4"/>
        <v>3592</v>
      </c>
      <c r="AC13" s="871">
        <f t="shared" si="4"/>
        <v>9</v>
      </c>
      <c r="AD13" s="871">
        <f t="shared" si="4"/>
        <v>0</v>
      </c>
      <c r="AE13" s="875">
        <f t="shared" si="4"/>
        <v>0</v>
      </c>
      <c r="AF13" s="868">
        <f t="shared" si="4"/>
        <v>0</v>
      </c>
      <c r="AG13" s="876">
        <f t="shared" si="4"/>
        <v>0</v>
      </c>
      <c r="AH13" s="873">
        <f t="shared" si="4"/>
        <v>0</v>
      </c>
      <c r="AI13" s="868">
        <f t="shared" si="4"/>
        <v>345</v>
      </c>
      <c r="AJ13" s="870">
        <f t="shared" si="4"/>
        <v>0</v>
      </c>
      <c r="AK13" s="873">
        <f>SUBTOTAL(9,AK9:AK12)</f>
        <v>0</v>
      </c>
      <c r="AL13" s="877">
        <f>IF(ISNUMBER(NºAsuntos!G13/NºAsuntos!E13),NºAsuntos!G13/NºAsuntos!E13," - ")</f>
        <v>0.98730158730158735</v>
      </c>
      <c r="AM13" s="877">
        <f>IF(ISNUMBER(((NºAsuntos!I13/NºAsuntos!G13)*11)/factor_trimestre),((NºAsuntos!I13/NºAsuntos!G13)*11)/factor_trimestre," - ")</f>
        <v>5.6744372990353691</v>
      </c>
      <c r="AN13" s="878">
        <f>IF(ISNUMBER('Resol  Asuntos'!D13/NºAsuntos!G13),'Resol  Asuntos'!D13/NºAsuntos!G13," - ")</f>
        <v>0.27733118971061094</v>
      </c>
      <c r="AO13" s="879">
        <f>IF(ISNUMBER((NºAsuntos!C13+NºAsuntos!E13)/NºAsuntos!G13),(NºAsuntos!C13+NºAsuntos!E13)/NºAsuntos!G13," - ")</f>
        <v>2.917202572347267</v>
      </c>
      <c r="AP13" s="880" t="str">
        <f t="shared" si="2"/>
        <v xml:space="preserve"> - </v>
      </c>
      <c r="AQ13" s="880">
        <f>IF(ISNUMBER((H13-W13+K13)/(F13)),(H13-W13+K13)/(F13)," - ")</f>
        <v>0</v>
      </c>
      <c r="AR13" s="881">
        <f>IF(ISNUMBER((Datos!P13-Datos!Q13)/(Datos!R13-Datos!P13+Datos!Q13)),(Datos!P13-Datos!Q13)/(Datos!R13-Datos!P13+Datos!Q13)," - ")</f>
        <v>-4.9735449735449737E-2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1027</v>
      </c>
      <c r="G16" s="336">
        <f>IF(ISNUMBER(IF(D_I="SI",Datos!I16,Datos!I16+Datos!AC16)),IF(D_I="SI",Datos!I16,Datos!I16+Datos!AC16)," - ")</f>
        <v>1091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1186</v>
      </c>
      <c r="X16" s="229">
        <f>IF(ISNUMBER(Datos!Q16),Datos!Q16," - ")</f>
        <v>42</v>
      </c>
      <c r="Y16" s="337">
        <f t="shared" ref="Y16:Y17" si="7">SUM(W16:X16)</f>
        <v>1228</v>
      </c>
      <c r="Z16" s="338" t="str">
        <f>IF(ISNUMBER(Datos!CC16),Datos!CC16," - ")</f>
        <v xml:space="preserve"> - </v>
      </c>
      <c r="AA16" s="335">
        <f>IF(ISNUMBER(IF(D_I="SI",Datos!L16,Datos!L16+Datos!AF16)),IF(D_I="SI",Datos!L16,Datos!L16+Datos!AF16)," - ")</f>
        <v>1110</v>
      </c>
      <c r="AB16" s="337">
        <f>IF(ISNUMBER(Datos!R16),Datos!R16," - ")</f>
        <v>119</v>
      </c>
      <c r="AC16" s="337">
        <f t="shared" si="6"/>
        <v>1229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146</v>
      </c>
      <c r="AJ16" s="234" t="str">
        <f>IF(ISNUMBER(Datos!BW16),Datos!BW16," - ")</f>
        <v xml:space="preserve"> - </v>
      </c>
      <c r="AK16" s="235" t="str">
        <f>IF(ISNUMBER(Datos!BX16),Datos!BX16," - ")</f>
        <v xml:space="preserve"> - </v>
      </c>
      <c r="AL16" s="246">
        <f>IF(ISNUMBER(NºAsuntos!G16/NºAsuntos!E16),NºAsuntos!G16/NºAsuntos!E16," - ")</f>
        <v>0.93459416863672184</v>
      </c>
      <c r="AM16" s="263">
        <f>IF(ISNUMBER(((NºAsuntos!I16/NºAsuntos!G16)*11)/factor_trimestre),((NºAsuntos!I16/NºAsuntos!G16)*11)/factor_trimestre," - ")</f>
        <v>2.8077571669477237</v>
      </c>
      <c r="AN16" s="247">
        <f>IF(ISNUMBER('Resol  Asuntos'!D16/NºAsuntos!G16),'Resol  Asuntos'!D16/NºAsuntos!G16," - ")</f>
        <v>0.12310286677908938</v>
      </c>
      <c r="AO16" s="248">
        <f>IF(ISNUMBER((NºAsuntos!C16+NºAsuntos!E16)/NºAsuntos!G16),(NºAsuntos!C16+NºAsuntos!E16)/NºAsuntos!G16," - ")</f>
        <v>1.9898819561551433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v>
      </c>
      <c r="X17" s="229">
        <f>IF(ISNUMBER(Datos!Q17),Datos!Q17," - ")</f>
        <v>0</v>
      </c>
      <c r="Y17" s="337">
        <f t="shared" si="7"/>
        <v>3</v>
      </c>
      <c r="Z17" s="338" t="str">
        <f>IF(ISNUMBER(Datos!CC17),Datos!CC17," - ")</f>
        <v xml:space="preserve"> - </v>
      </c>
      <c r="AA17" s="335">
        <f>IF(ISNUMBER(Datos!L17),Datos!L17,"-")</f>
        <v>18</v>
      </c>
      <c r="AB17" s="337">
        <f>IF(ISNUMBER(Datos!R17),Datos!R17," - ")</f>
        <v>0</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t="str">
        <f>IF(ISNUMBER(NºAsuntos!G17/NºAsuntos!E17),NºAsuntos!G17/NºAsuntos!E17," - ")</f>
        <v xml:space="preserve"> - </v>
      </c>
      <c r="AM17" s="263">
        <f>IF(ISNUMBER(((NºAsuntos!I17/NºAsuntos!G17)*11)/factor_trimestre),((NºAsuntos!I17/NºAsuntos!G17)*11)/factor_trimestre," - ")</f>
        <v>18</v>
      </c>
      <c r="AN17" s="247">
        <f>IF(ISNUMBER('Resol  Asuntos'!D17/NºAsuntos!G17),'Resol  Asuntos'!D17/NºAsuntos!G17," - ")</f>
        <v>0</v>
      </c>
      <c r="AO17" s="248">
        <f>IF(ISNUMBER((NºAsuntos!C17+NºAsuntos!E17)/NºAsuntos!G17),(NºAsuntos!C17+NºAsuntos!E17)/NºAsuntos!G17," - ")</f>
        <v>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1027</v>
      </c>
      <c r="G18" s="869">
        <f>SUBTOTAL(9,G15:G17)</f>
        <v>1112</v>
      </c>
      <c r="H18" s="868">
        <f t="shared" ref="H18:O18" si="10">SUBTOTAL(9,H14:H17)</f>
        <v>0</v>
      </c>
      <c r="I18" s="870">
        <f t="shared" si="10"/>
        <v>0</v>
      </c>
      <c r="J18" s="870">
        <f t="shared" si="10"/>
        <v>0</v>
      </c>
      <c r="K18" s="870">
        <f t="shared" si="10"/>
        <v>0</v>
      </c>
      <c r="L18" s="870">
        <f t="shared" si="10"/>
        <v>38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1189</v>
      </c>
      <c r="X18" s="870">
        <f t="shared" si="11"/>
        <v>42</v>
      </c>
      <c r="Y18" s="871">
        <f t="shared" si="11"/>
        <v>1231</v>
      </c>
      <c r="Z18" s="871">
        <f t="shared" si="11"/>
        <v>0</v>
      </c>
      <c r="AA18" s="871">
        <f t="shared" si="11"/>
        <v>1128</v>
      </c>
      <c r="AB18" s="871">
        <f t="shared" si="11"/>
        <v>119</v>
      </c>
      <c r="AC18" s="871">
        <f t="shared" si="11"/>
        <v>1247</v>
      </c>
      <c r="AD18" s="871">
        <f t="shared" si="11"/>
        <v>0</v>
      </c>
      <c r="AE18" s="875">
        <f t="shared" si="11"/>
        <v>0</v>
      </c>
      <c r="AF18" s="868">
        <f t="shared" si="11"/>
        <v>0</v>
      </c>
      <c r="AG18" s="876">
        <f t="shared" si="11"/>
        <v>0</v>
      </c>
      <c r="AH18" s="873">
        <f t="shared" si="11"/>
        <v>0</v>
      </c>
      <c r="AI18" s="868">
        <f t="shared" si="11"/>
        <v>146</v>
      </c>
      <c r="AJ18" s="870">
        <f t="shared" si="11"/>
        <v>0</v>
      </c>
      <c r="AK18" s="873">
        <f t="shared" si="11"/>
        <v>0</v>
      </c>
      <c r="AL18" s="877">
        <f>IF(ISNUMBER(NºAsuntos!G18/NºAsuntos!E18),NºAsuntos!G18/NºAsuntos!E18," - ")</f>
        <v>0.93695823483057528</v>
      </c>
      <c r="AM18" s="877">
        <f>IF(ISNUMBER(((NºAsuntos!I18/NºAsuntos!G18)*11)/factor_trimestre),((NºAsuntos!I18/NºAsuntos!G18)*11)/factor_trimestre," - ")</f>
        <v>2.8460891505466783</v>
      </c>
      <c r="AN18" s="878">
        <f>IF(ISNUMBER('Resol  Asuntos'!D18/NºAsuntos!G18),'Resol  Asuntos'!D18/NºAsuntos!G18," - ")</f>
        <v>0.12279226240538267</v>
      </c>
      <c r="AO18" s="879">
        <f>IF(ISNUMBER((NºAsuntos!C18+NºAsuntos!E18)/NºAsuntos!G18),(NºAsuntos!C18+NºAsuntos!E18)/NºAsuntos!G18," - ")</f>
        <v>2.0025231286795626</v>
      </c>
      <c r="AP18" s="880" t="str">
        <f t="shared" si="2"/>
        <v xml:space="preserve"> - </v>
      </c>
      <c r="AQ18" s="880">
        <f>IF(ISNUMBER((H18-W18+K18)/(F18)),(H18-W18+K18)/(F18)," - ")</f>
        <v>-1.1577409931840312</v>
      </c>
      <c r="AR18" s="881">
        <f>IF(ISNUMBER((Datos!P18-Datos!Q18)/(Datos!R18-Datos!P18+Datos!Q18)),(Datos!P18-Datos!Q18)/(Datos!R18-Datos!P18+Datos!Q18)," - ")</f>
        <v>-3.2520325203252036E-2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1030</v>
      </c>
      <c r="G19" s="824">
        <f t="shared" si="13"/>
        <v>1115</v>
      </c>
      <c r="H19" s="823">
        <f t="shared" si="13"/>
        <v>0</v>
      </c>
      <c r="I19" s="825">
        <f t="shared" si="13"/>
        <v>0</v>
      </c>
      <c r="J19" s="825">
        <f t="shared" si="13"/>
        <v>0</v>
      </c>
      <c r="K19" s="884">
        <f t="shared" si="13"/>
        <v>0</v>
      </c>
      <c r="L19" s="825">
        <f t="shared" si="13"/>
        <v>270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1189</v>
      </c>
      <c r="X19" s="824">
        <f t="shared" si="14"/>
        <v>462</v>
      </c>
      <c r="Y19" s="831">
        <f t="shared" si="14"/>
        <v>1651</v>
      </c>
      <c r="Z19" s="831">
        <f t="shared" si="14"/>
        <v>0</v>
      </c>
      <c r="AA19" s="831">
        <f t="shared" si="14"/>
        <v>1131</v>
      </c>
      <c r="AB19" s="831">
        <f t="shared" si="14"/>
        <v>3711</v>
      </c>
      <c r="AC19" s="831">
        <f t="shared" si="14"/>
        <v>1256</v>
      </c>
      <c r="AD19" s="831">
        <f t="shared" si="14"/>
        <v>0</v>
      </c>
      <c r="AE19" s="833">
        <f t="shared" si="14"/>
        <v>0</v>
      </c>
      <c r="AF19" s="834">
        <f t="shared" si="14"/>
        <v>0</v>
      </c>
      <c r="AG19" s="835">
        <f t="shared" si="14"/>
        <v>0</v>
      </c>
      <c r="AH19" s="833">
        <f t="shared" si="14"/>
        <v>0</v>
      </c>
      <c r="AI19" s="823">
        <f t="shared" si="14"/>
        <v>491</v>
      </c>
      <c r="AJ19" s="823">
        <f t="shared" si="14"/>
        <v>0</v>
      </c>
      <c r="AK19" s="833">
        <f t="shared" si="14"/>
        <v>0</v>
      </c>
      <c r="AL19" s="887">
        <f>IF(ISNUMBER(NºAsuntos!G19/NºAsuntos!E19),NºAsuntos!G19/NºAsuntos!E19," - ")</f>
        <v>0.96204033214709372</v>
      </c>
      <c r="AM19" s="888">
        <f>IF(ISNUMBER(((NºAsuntos!I19/NºAsuntos!G19)*11)/factor_trimestre),((NºAsuntos!I19/NºAsuntos!G19)*11)/factor_trimestre," - ")</f>
        <v>4.2922318125770662</v>
      </c>
      <c r="AN19" s="888">
        <f>IF(ISNUMBER('Resol  Asuntos'!D19/NºAsuntos!G19),'Resol  Asuntos'!D19/NºAsuntos!G19," - ")</f>
        <v>0.20180846691327578</v>
      </c>
      <c r="AO19" s="889">
        <f>IF(ISNUMBER((NºAsuntos!C19+NºAsuntos!E19)/NºAsuntos!G19),(NºAsuntos!C19+NºAsuntos!E19)/NºAsuntos!G19," - ")</f>
        <v>2.4702013974517056</v>
      </c>
      <c r="AP19" s="890" t="str">
        <f t="shared" si="2"/>
        <v xml:space="preserve"> - </v>
      </c>
      <c r="AQ19" s="891">
        <f>IF(OR(ISNUMBER(FIND("01",Criterios!A8,1)),ISNUMBER(FIND("02",Criterios!A8,1)),ISNUMBER(FIND("03",Criterios!A8,1)),ISNUMBER(FIND("04",Criterios!A8,1))),(I19-W19+K19)/(F19-K19),(H19-W19+K19)/(F19-K19))</f>
        <v>-1.1543689320388351</v>
      </c>
      <c r="AR19" s="892">
        <f>IF(ISNUMBER((Datos!P19-Datos!Q19)/(Datos!R19-Datos!P19+Datos!Q19)),(Datos!P19-Datos!Q19)/(Datos!R19-Datos!P19+Datos!Q19)," - ")</f>
        <v>-4.919292851652575E-2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446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591.20667565017675</v>
      </c>
      <c r="G21" s="256">
        <f>IF(ISNUMBER(STDEV(G8:G18)),STDEV(G8:G18),"-")</f>
        <v>598.47806977365508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649.8748341026909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154.89437261135947</v>
      </c>
      <c r="AJ21" s="255">
        <f t="shared" si="18"/>
        <v>0</v>
      </c>
      <c r="AK21" s="257">
        <f t="shared" si="18"/>
        <v>0</v>
      </c>
      <c r="AL21" s="252">
        <f t="shared" si="18"/>
        <v>2.9763846987070377E-2</v>
      </c>
      <c r="AM21" s="253">
        <f t="shared" si="18"/>
        <v>6.3119596144725998</v>
      </c>
      <c r="AN21" s="253">
        <f t="shared" si="18"/>
        <v>0.11819366329405864</v>
      </c>
      <c r="AO21" s="254">
        <f t="shared" si="18"/>
        <v>2.0834903689395854</v>
      </c>
      <c r="AP21" s="294" t="str">
        <f t="shared" si="18"/>
        <v>-</v>
      </c>
      <c r="AQ21" s="295">
        <f t="shared" si="18"/>
        <v>0.81864650713807696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9070mG+/q/mUQRy0PuCNYQ6jDjk/peL4OQ988FbJ99hraP+6jxgks88CnxqAYCc/nWG5MERDT/s3NUonDBXYSw==" saltValue="3h2Us2g43pXaYrOqARdx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CACERES</v>
      </c>
      <c r="E3" s="266"/>
    </row>
    <row r="4" spans="2:20" ht="17.25" customHeight="1" thickBot="1">
      <c r="D4" s="265" t="str">
        <f>Criterios!A11 &amp;"  "&amp;Criterios!B11</f>
        <v>Resumenes por Partidos Judiciales  PLASENCIA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-0.85</v>
      </c>
      <c r="E10" s="351">
        <f>IF(ISNUMBER((Datos!J10-Datos!T10)/Datos!T10),(Datos!J10-Datos!T10)/Datos!T10," - ")</f>
        <v>-1</v>
      </c>
      <c r="F10" s="351">
        <f>IF(ISNUMBER((Datos!K10-Datos!U10)/Datos!U10),(Datos!K10-Datos!U10)/Datos!U10," - ")</f>
        <v>-1</v>
      </c>
      <c r="G10" s="352">
        <f>IF(ISNUMBER((Datos!L10-Datos!V10)/Datos!V10),(Datos!L10-Datos!V10)/Datos!V10," - ")</f>
        <v>-0.90322580645161288</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0.40816326530612246</v>
      </c>
      <c r="I12" s="353">
        <f>IF(ISNUMBER((Tasas!C12-Datos!BE12)/Datos!BE12),(Tasas!C12-Datos!BE12)/Datos!BE12," - ")</f>
        <v>0.37258089767212216</v>
      </c>
      <c r="J12" s="352">
        <f>IF(ISNUMBER((Tasas!D12-Datos!BF12)/Datos!BF12),(Tasas!D12-Datos!BF12)/Datos!BF12," - ")</f>
        <v>-0.44533762057877813</v>
      </c>
      <c r="K12" s="354">
        <f>IF(ISNUMBER((Tasas!E12-Datos!BG12)/Datos!BG12),(Tasas!E12-Datos!BG12)/Datos!BG12," - ")</f>
        <v>0.22661486632582603</v>
      </c>
      <c r="M12" t="e">
        <f>IF(Monitorios="SI",Datos!CE12,0)</f>
        <v>#REF!</v>
      </c>
      <c r="N12" t="e">
        <f>IF(Monitorios="SI",Datos!CF12,0)</f>
        <v>#REF!</v>
      </c>
      <c r="O12" t="e">
        <f>IF(Monitorios="SI",Datos!CG12,0)</f>
        <v>#REF!</v>
      </c>
      <c r="P12" t="e">
        <f>IF(Monitorios="SI",Datos!CH12,0)</f>
        <v>#REF!</v>
      </c>
      <c r="Q12">
        <f>IF(J_V="SI",0,Datos!AG12)</f>
        <v>71</v>
      </c>
      <c r="R12">
        <f>IF(J_V="SI",0,Datos!AH12)</f>
        <v>132</v>
      </c>
      <c r="S12">
        <f>IF(J_V="SI",0,Datos!AI12)</f>
        <v>114</v>
      </c>
      <c r="T12">
        <f>IF(J_V="SI",0,Datos!AJ12)</f>
        <v>89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0.36904761904761907</v>
      </c>
      <c r="I13" s="360">
        <f>IF(ISNUMBER((Tasas!C13-Datos!BE13)/Datos!BE13),(Tasas!C13-Datos!BE13)/Datos!BE13," - ")</f>
        <v>0.36252960035402726</v>
      </c>
      <c r="J13" s="358">
        <f>IF(ISNUMBER((Tasas!D13-Datos!BF13)/Datos!BF13),(Tasas!D13-Datos!BF13)/Datos!BF13," - ")</f>
        <v>-0.44533762057877813</v>
      </c>
      <c r="K13" s="361">
        <f>IF(ISNUMBER((Tasas!E13-Datos!BG13)/Datos!BG13),(Tasas!E13-Datos!BG13)/Datos!BG13," - ")</f>
        <v>0.22150099199562159</v>
      </c>
      <c r="M13" t="e">
        <f>IF(Monitorios="SI",Datos!CE13,0)</f>
        <v>#REF!</v>
      </c>
      <c r="N13" t="e">
        <f>IF(Monitorios="SI",Datos!CF13,0)</f>
        <v>#REF!</v>
      </c>
      <c r="O13" t="e">
        <f>IF(Monitorios="SI",Datos!CG13,0)</f>
        <v>#REF!</v>
      </c>
      <c r="P13" t="e">
        <f>IF(Monitorios="SI",Datos!CH13,0)</f>
        <v>#REF!</v>
      </c>
      <c r="Q13">
        <f>IF(J_V="SI",0,Datos!AG13)</f>
        <v>71</v>
      </c>
      <c r="R13">
        <f>IF(J_V="SI",0,Datos!AH13)</f>
        <v>132</v>
      </c>
      <c r="S13">
        <f>IF(J_V="SI",0,Datos!AI13)</f>
        <v>114</v>
      </c>
      <c r="T13">
        <f>IF(J_V="SI",0,Datos!AJ13)</f>
        <v>89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0.58115942028985512</v>
      </c>
      <c r="E16" s="351">
        <f>IF(ISNUMBER(
   IF(D_I="SI",(Datos!J16-Datos!T16)/Datos!T16,(Datos!J16+Datos!AD16-(Datos!T16+Datos!AL16))/(Datos!T16+Datos!AL16))
     ),IF(D_I="SI",(Datos!J16-Datos!T16)/Datos!T16,(Datos!J16+Datos!AD16-(Datos!T16+Datos!AL16))/(Datos!T16+Datos!AL16))," - ")</f>
        <v>0.23684210526315788</v>
      </c>
      <c r="F16" s="351">
        <f>IF(ISNUMBER(
   IF(D_I="SI",(Datos!K16-Datos!U16)/Datos!U16,(Datos!K16+Datos!AE16-(Datos!U16+Datos!AM16))/(Datos!U16+Datos!AM16))
     ),IF(D_I="SI",(Datos!K16-Datos!U16)/Datos!U16,(Datos!K16+Datos!AE16-(Datos!U16+Datos!AM16))/(Datos!U16+Datos!AM16))," - ")</f>
        <v>0.2016210739614995</v>
      </c>
      <c r="G16" s="352">
        <f>IF(ISNUMBER(
   IF(D_I="SI",(Datos!L16-Datos!V16)/Datos!V16,(Datos!L16+Datos!AF16-(Datos!V16+Datos!AN16))/(Datos!V16+Datos!AN16))
     ),IF(D_I="SI",(Datos!L16-Datos!V16)/Datos!V16,(Datos!L16+Datos!AF16-(Datos!V16+Datos!AN16))/(Datos!V16+Datos!AN16))," - ")</f>
        <v>0.51020408163265307</v>
      </c>
      <c r="H16" s="233">
        <f>IF(ISNUMBER((Datos!M16-Datos!W16)/Datos!W16),(Datos!M16-Datos!W16)/Datos!W16," - ")</f>
        <v>-2.6666666666666668E-2</v>
      </c>
      <c r="I16" s="353">
        <f>IF(ISNUMBER((Tasas!C16-Datos!BE16)/Datos!BE16),(Tasas!C16-Datos!BE16)/Datos!BE16," - ")</f>
        <v>0.25680558901469536</v>
      </c>
      <c r="J16" s="352">
        <f>IF(ISNUMBER((Tasas!D16-Datos!BF16)/Datos!BF16),(Tasas!D16-Datos!BF16)/Datos!BF16," - ")</f>
        <v>-0.18998313659359184</v>
      </c>
      <c r="K16" s="354">
        <f>IF(ISNUMBER((Tasas!E16-Datos!BG16)/Datos!BG16),(Tasas!E16-Datos!BG16)/Datos!BG16," - ")</f>
        <v>0.14453000625007373</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-0.79411764705882348</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-0.97637795275590555</v>
      </c>
      <c r="G17" s="352">
        <f>IF(ISNUMBER(
   IF(D_I="SI",(Datos!L17-Datos!V17)/Datos!V17,(Datos!L17+Datos!AF17-(Datos!V17+Datos!AN17))/(Datos!V17+Datos!AN17))
     ),IF(D_I="SI",(Datos!L17-Datos!V17)/Datos!V17,(Datos!L17+Datos!AF17-(Datos!V17+Datos!AN17))/(Datos!V17+Datos!AN17))," - ")</f>
        <v>-0.77500000000000002</v>
      </c>
      <c r="H17" s="233">
        <f>IF(ISNUMBER((Datos!M17-Datos!W17)/Datos!W17),(Datos!M17-Datos!W17)/Datos!W17," - ")</f>
        <v>-1</v>
      </c>
      <c r="I17" s="353">
        <f>IF(ISNUMBER((Tasas!C17-Datos!BE17)/Datos!BE17),(Tasas!C17-Datos!BE17)/Datos!BE17," - ")</f>
        <v>8.5250000000000004</v>
      </c>
      <c r="J17" s="352">
        <f>IF(ISNUMBER((Tasas!D17-Datos!BF17)/Datos!BF17),(Tasas!D17-Datos!BF17)/Datos!BF17," - ")</f>
        <v>-1</v>
      </c>
      <c r="K17" s="354">
        <f>IF(ISNUMBER((Tasas!E17-Datos!BG17)/Datos!BG17),(Tasas!E17-Datos!BG17)/Datos!BG17," - ")</f>
        <v>3.2946859903381642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0.40404040404040403</v>
      </c>
      <c r="E18" s="357">
        <f>IF(ISNUMBER(
   IF(D_I="SI",(Datos!J18-Datos!T18)/Datos!T18,(Datos!J18+Datos!AD18-(Datos!T18+Datos!AL18))/(Datos!T18+Datos!AL18))
     ),IF(D_I="SI",(Datos!J18-Datos!T18)/Datos!T18,(Datos!J18+Datos!AD18-(Datos!T18+Datos!AL18))/(Datos!T18+Datos!AL18))," - ")</f>
        <v>0.1220159151193634</v>
      </c>
      <c r="F18" s="357">
        <f>IF(ISNUMBER(
   IF(D_I="SI",(Datos!K18-Datos!U18)/Datos!U18,(Datos!K18+Datos!AE18-(Datos!U18+Datos!AM18))/(Datos!U18+Datos!AM18))
     ),IF(D_I="SI",(Datos!K18-Datos!U18)/Datos!U18,(Datos!K18+Datos!AE18-(Datos!U18+Datos!AM18))/(Datos!U18+Datos!AM18))," - ")</f>
        <v>6.7324955116696589E-2</v>
      </c>
      <c r="G18" s="358">
        <f>IF(ISNUMBER(
   IF(D_I="SI",(Datos!L18-Datos!V18)/Datos!V18,(Datos!L18+Datos!AF18-(Datos!V18+Datos!AN18))/(Datos!V18+Datos!AN18))
     ),IF(D_I="SI",(Datos!L18-Datos!V18)/Datos!V18,(Datos!L18+Datos!AF18-(Datos!V18+Datos!AN18))/(Datos!V18+Datos!AN18))," - ")</f>
        <v>0.38404907975460123</v>
      </c>
      <c r="H18" s="359">
        <f>IF(ISNUMBER((Datos!M18-Datos!W18)/Datos!W18),(Datos!M18-Datos!W18)/Datos!W18," - ")</f>
        <v>-0.11515151515151516</v>
      </c>
      <c r="I18" s="360">
        <f>IF(ISNUMBER((Tasas!C18-Datos!BE18)/Datos!BE18),(Tasas!C18-Datos!BE18)/Datos!BE18," - ")</f>
        <v>0.29674573157832279</v>
      </c>
      <c r="J18" s="358">
        <f>IF(ISNUMBER((Tasas!D18-Datos!BF18)/Datos!BF18),(Tasas!D18-Datos!BF18)/Datos!BF18," - ")</f>
        <v>-0.17096617988123453</v>
      </c>
      <c r="K18" s="361">
        <f>IF(ISNUMBER((Tasas!E18-Datos!BG18)/Datos!BG18),(Tasas!E18-Datos!BG18)/Datos!BG18," - ")</f>
        <v>0.16006800070152508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0.69887750122010739</v>
      </c>
      <c r="E19" s="366">
        <f>IF(ISNUMBER(
   IF(J_V="SI",(Datos!J19-Datos!T19)/Datos!T19,(Datos!J19+Datos!Z19-(Datos!T19+Datos!AH19))/(Datos!T19+Datos!AH19))
     ),IF(J_V="SI",(Datos!J19-Datos!T19)/Datos!T19,(Datos!J19+Datos!Z19-(Datos!T19+Datos!AH19))/(Datos!T19+Datos!AH19))," - ")</f>
        <v>0.13714028776978418</v>
      </c>
      <c r="F19" s="366">
        <f>IF(ISNUMBER(
   IF(J_V="SI",(Datos!K19-Datos!U19)/Datos!U19,(Datos!K19+Datos!AA19-(Datos!U19+Datos!AI19))/(Datos!U19+Datos!AI19))
     ),IF(J_V="SI",(Datos!K19-Datos!U19)/Datos!U19,(Datos!K19+Datos!AA19-(Datos!U19+Datos!AI19))/(Datos!U19+Datos!AI19))," - ")</f>
        <v>0.15967588179218303</v>
      </c>
      <c r="G19" s="367">
        <f>IF(ISNUMBER(
   IF(J_V="SI",(Datos!L19-Datos!V19)/Datos!V19,(Datos!L19+Datos!AB19-(Datos!V19+Datos!AJ19))/(Datos!V19+Datos!AJ19))
     ),IF(J_V="SI",(Datos!L19-Datos!V19)/Datos!V19,(Datos!L19+Datos!AB19-(Datos!V19+Datos!AJ19))/(Datos!V19+Datos!AJ19))," - ")</f>
        <v>0.59605685465382852</v>
      </c>
      <c r="H19" s="368">
        <f>IF(ISNUMBER((Datos!M19-Datos!W19)/Datos!W19),(Datos!M19-Datos!W19)/Datos!W19," - ")</f>
        <v>0.17745803357314149</v>
      </c>
      <c r="I19" s="365">
        <f>IF(ISNUMBER((Tasas!C19-Datos!BE19)/Datos!BE19),(Tasas!C19-Datos!BE19)/Datos!BE19," - ")</f>
        <v>0.37629563545570599</v>
      </c>
      <c r="J19" s="366">
        <f>IF(ISNUMBER((Tasas!D19-Datos!BF19)/Datos!BF19),(Tasas!D19-Datos!BF19)/Datos!BF19," - ")</f>
        <v>-0.35556443898926549</v>
      </c>
      <c r="K19" s="367">
        <f>IF(ISNUMBER((Tasas!E19-Datos!BG19)/Datos!BG19),(Tasas!E19-Datos!BG19)/Datos!BG19," - ")</f>
        <v>0.21284402804907065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0.76279629936649906</v>
      </c>
      <c r="E21" s="281">
        <f t="shared" si="1"/>
        <v>0.68255532548705189</v>
      </c>
      <c r="F21" s="281">
        <f t="shared" si="1"/>
        <v>0.65055531924047427</v>
      </c>
      <c r="G21" s="282">
        <f t="shared" si="1"/>
        <v>0.74623286824843083</v>
      </c>
      <c r="H21" s="288">
        <f t="shared" si="1"/>
        <v>0.63346752604596956</v>
      </c>
      <c r="I21" s="280">
        <f t="shared" si="1"/>
        <v>3.6687288233854733</v>
      </c>
      <c r="J21" s="281">
        <f t="shared" si="1"/>
        <v>0.33466833946162772</v>
      </c>
      <c r="K21" s="282">
        <f t="shared" si="1"/>
        <v>1.3897476687640447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wkiNyqGWomnU65PJtnP3TFgAKzLS6xcLYiwhOwad5zyohYfPt20IhPP8cNylUCL3/kLqRn0vKP4zvHXAL6Lrg==" saltValue="F8m7kL2OcWy/GkbVv0zT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